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UNDELAY\Financeiro\CONTROLES FINANCEIROS E CONTÁBEIS 2021 (2)\16. PORTAL TRANSPARÊNCIA (SITE)\3 CONCILIAÇÃO FINANCEIRA\"/>
    </mc:Choice>
  </mc:AlternateContent>
  <bookViews>
    <workbookView xWindow="0" yWindow="0" windowWidth="24000" windowHeight="9135"/>
  </bookViews>
  <sheets>
    <sheet name="CONCILIAÇÃO FINANCEIRA" sheetId="6" r:id="rId1"/>
    <sheet name="GRÁFICOS" sheetId="7" r:id="rId2"/>
  </sheets>
  <externalReferences>
    <externalReference r:id="rId3"/>
  </externalReferences>
  <definedNames>
    <definedName name="___bdf337">'[1]BD DESPESAS'!#REF!</definedName>
    <definedName name="__bdf337">#REF!</definedName>
    <definedName name="_bdf337">#REF!</definedName>
    <definedName name="_xlnm.Print_Area" localSheetId="0">'CONCILIAÇÃO FINANCEIRA'!$A$1:$H$138</definedName>
    <definedName name="_xlnm.Print_Area" localSheetId="1">GRÁFICOS!$A$1:$O$79</definedName>
    <definedName name="ss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7" l="1"/>
  <c r="M52" i="7"/>
  <c r="N53" i="7"/>
  <c r="M47" i="7"/>
  <c r="M45" i="7"/>
  <c r="M43" i="7"/>
  <c r="M42" i="7"/>
  <c r="M41" i="7"/>
  <c r="D91" i="6" l="1"/>
  <c r="E10" i="7" l="1"/>
  <c r="B101" i="6"/>
  <c r="M44" i="7" l="1"/>
  <c r="B35" i="7" l="1"/>
  <c r="B7" i="7"/>
  <c r="B13" i="7"/>
  <c r="B12" i="7"/>
  <c r="B11" i="7"/>
  <c r="F131" i="6" l="1"/>
  <c r="F135" i="6" l="1"/>
  <c r="C130" i="6"/>
  <c r="C129" i="6"/>
  <c r="C128" i="6"/>
  <c r="C127" i="6"/>
  <c r="C126" i="6"/>
  <c r="C125" i="6"/>
  <c r="C123" i="6"/>
  <c r="C122" i="6"/>
  <c r="C121" i="6"/>
  <c r="C120" i="6"/>
  <c r="C119" i="6"/>
  <c r="F124" i="6"/>
  <c r="C118" i="6"/>
  <c r="C116" i="6"/>
  <c r="C115" i="6"/>
  <c r="C114" i="6"/>
  <c r="F117" i="6"/>
  <c r="C113" i="6"/>
  <c r="B108" i="6"/>
  <c r="B110" i="6" s="1"/>
  <c r="B117" i="6" s="1"/>
  <c r="B124" i="6" s="1"/>
  <c r="B131" i="6" s="1"/>
  <c r="B133" i="6" s="1"/>
  <c r="B135" i="6" s="1"/>
  <c r="B137" i="6" s="1"/>
  <c r="F100" i="6"/>
  <c r="M38" i="7" s="1"/>
  <c r="B90" i="6"/>
  <c r="B89" i="6"/>
  <c r="B81" i="6"/>
  <c r="F79" i="6"/>
  <c r="B79" i="6"/>
  <c r="B77" i="6"/>
  <c r="F75" i="6"/>
  <c r="B75" i="6"/>
  <c r="F68" i="6"/>
  <c r="B68" i="6"/>
  <c r="F61" i="6"/>
  <c r="G49" i="6"/>
  <c r="G48" i="6"/>
  <c r="G47" i="6"/>
  <c r="G46" i="6"/>
  <c r="G45" i="6"/>
  <c r="F50" i="6"/>
  <c r="F107" i="6" s="1"/>
  <c r="E50" i="6"/>
  <c r="F106" i="6" s="1"/>
  <c r="D50" i="6"/>
  <c r="F105" i="6" s="1"/>
  <c r="C50" i="6"/>
  <c r="F104" i="6" s="1"/>
  <c r="G43" i="6"/>
  <c r="G42" i="6"/>
  <c r="G41" i="6"/>
  <c r="G40" i="6"/>
  <c r="G39" i="6"/>
  <c r="G38" i="6"/>
  <c r="G26" i="6"/>
  <c r="G25" i="6"/>
  <c r="G24" i="6"/>
  <c r="G23" i="6"/>
  <c r="G22" i="6"/>
  <c r="F27" i="6"/>
  <c r="E27" i="6"/>
  <c r="D27" i="6"/>
  <c r="F97" i="6" s="1"/>
  <c r="M12" i="7" s="1"/>
  <c r="C27" i="6"/>
  <c r="F96" i="6" s="1"/>
  <c r="M11" i="7" s="1"/>
  <c r="G20" i="6"/>
  <c r="G19" i="6"/>
  <c r="G18" i="6"/>
  <c r="G17" i="6"/>
  <c r="G16" i="6"/>
  <c r="G15" i="6"/>
  <c r="G108" i="6" l="1"/>
  <c r="F98" i="6"/>
  <c r="M13" i="7" s="1"/>
  <c r="M46" i="7" s="1"/>
  <c r="M48" i="7" s="1"/>
  <c r="M39" i="7"/>
  <c r="M40" i="7" s="1"/>
  <c r="M14" i="7"/>
  <c r="G133" i="6"/>
  <c r="G137" i="6" s="1"/>
  <c r="G44" i="6"/>
  <c r="G50" i="6" s="1"/>
  <c r="M53" i="7" s="1"/>
  <c r="G21" i="6"/>
  <c r="G27" i="6" s="1"/>
  <c r="G77" i="6"/>
  <c r="G81" i="6" s="1"/>
  <c r="F99" i="6" l="1"/>
  <c r="G101" i="6" s="1"/>
  <c r="G110" i="6" s="1"/>
  <c r="N54" i="7"/>
  <c r="N13" i="7"/>
  <c r="N12" i="7"/>
  <c r="N11" i="7"/>
  <c r="M54" i="7" l="1"/>
  <c r="N14" i="7"/>
</calcChain>
</file>

<file path=xl/sharedStrings.xml><?xml version="1.0" encoding="utf-8"?>
<sst xmlns="http://schemas.openxmlformats.org/spreadsheetml/2006/main" count="125" uniqueCount="99">
  <si>
    <t>Total</t>
  </si>
  <si>
    <t>Associação Cultural de Apoio ao Museu Casa de Portinari - Organização Social de Cultura</t>
  </si>
  <si>
    <t>Demonstrativo de Composição e Conciliação Financeira - Contrato de Gestão n.º 04/2021</t>
  </si>
  <si>
    <t>Folha 01/02</t>
  </si>
  <si>
    <t>Origens dos Recursos Recebidos</t>
  </si>
  <si>
    <t>Meses</t>
  </si>
  <si>
    <t>Repasses Contrato Gestão (1)</t>
  </si>
  <si>
    <t>Receitas                                                 com Captações                (2)</t>
  </si>
  <si>
    <t>Rendimentos com Aplicações Financeiras (3)</t>
  </si>
  <si>
    <t>Contas Vinculadas aos Repasses</t>
  </si>
  <si>
    <t>Contas Vinculadas a Captações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</si>
  <si>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</si>
  <si>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</si>
  <si>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</si>
  <si>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</si>
  <si>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</si>
  <si>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</si>
  <si>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</si>
  <si>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</si>
  <si>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</si>
  <si>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</si>
  <si>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</si>
  <si>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</si>
  <si>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Aplicações dos Recursos</t>
  </si>
  <si>
    <t>Desembolsos Contrato de Gestão (4)</t>
  </si>
  <si>
    <t>Desembolsos c/ Recursos de Captações (5)</t>
  </si>
  <si>
    <t>Desembolsos c/ Aplicações Financeiras (6)</t>
  </si>
  <si>
    <t>IR - IOF - Demais vinculado aos Recursos Repassados</t>
  </si>
  <si>
    <t>IR - IOF - Demais vinculado aos Recursos Captados</t>
  </si>
  <si>
    <t>Data</t>
  </si>
  <si>
    <t>Composição dos Saldos de Recursos Disponíveis</t>
  </si>
  <si>
    <t>Caixa Sede - OS</t>
  </si>
  <si>
    <t>Caixa Loja - MCP</t>
  </si>
  <si>
    <t>Caixa PP/Sócios - MCP</t>
  </si>
  <si>
    <t>Caixa Bilheteria - MFL/ACS</t>
  </si>
  <si>
    <t>Total de Recursos em Caixa</t>
  </si>
  <si>
    <t>Banco do Brasil S/A - Agência 351-4 C/C 40.807-7 (Diária)</t>
  </si>
  <si>
    <t>Banco do Brasil S/A - Agência 351-4 C/C 40.808-5 (Captação)</t>
  </si>
  <si>
    <t>Banco do Brasil S/A - Agência 351-4 C/C 40.809-3 (Fdo Contingência)</t>
  </si>
  <si>
    <t>Banco do Brasil S/A - Agência 351-4 C/C 40.810-7 (Fdo Reserva)</t>
  </si>
  <si>
    <t>Banco do Brasil S/A - Agência 351-4 C/C 40.811-5 (Loja)</t>
  </si>
  <si>
    <t>CEF - Agência 2105-9 C/C 003.1346-4 (Bilheteria)</t>
  </si>
  <si>
    <t>Total de Recursos em Conta Corrente</t>
  </si>
  <si>
    <t>Banco do Brasil S/A - Agência 351-4 C/Aplic 40.807-7 (Diária)</t>
  </si>
  <si>
    <t>Banco do Brasil S/A - Agência 351-4 C/Aplic 40.808-5 (Captação)</t>
  </si>
  <si>
    <t>Banco do Brasil S/A - Agência 351-4 C/Aplic 40.809-3 (Fdo Contingência)</t>
  </si>
  <si>
    <t>Banco do Brasil S/A - Agência 351-4 C/Aplic 40.810-7 (Fdo Reserva)</t>
  </si>
  <si>
    <t>Banco do Brasil S/A - Agência 351-4 C/Aplic 40.811-5 (Loja)</t>
  </si>
  <si>
    <t>CEF - Agência 2105-9 C/Aplic 003.1346-4 (Bilheteria)</t>
  </si>
  <si>
    <t>Total de Recursos em Conta Aplicação</t>
  </si>
  <si>
    <t>Total de Recursos Disponíveis em Caixa e Banco</t>
  </si>
  <si>
    <t>Numerário em Trânsito (Protege S/A Proteção e Transp. de Valores)</t>
  </si>
  <si>
    <t>Total de Recursos em Trânsito</t>
  </si>
  <si>
    <t>Total de Recursos Disponíveis em Caixa, Banco e Numerário em Trânsito</t>
  </si>
  <si>
    <t>Folha 02/02</t>
  </si>
  <si>
    <t>Saldo de Recursos Disponíveis de Período Anterior</t>
  </si>
  <si>
    <t>Origens de Recursos Recebidos no Exercício Corrente</t>
  </si>
  <si>
    <t>( + ) Repasses do Contrato de Gestão</t>
  </si>
  <si>
    <t>( + ) Receitas com Captações</t>
  </si>
  <si>
    <t>( + ) Rendimentos c/ Aplicações Financeiras</t>
  </si>
  <si>
    <t>( = ) Total de Recursos Vinculados ao C.G. n.º 04/2021</t>
  </si>
  <si>
    <t>( + ) Recursos Públicos Transferidos do C.G. n.º 005/2016</t>
  </si>
  <si>
    <t>( = ) Total de Recursos Recebidos</t>
  </si>
  <si>
    <t>Aplicações de Recursos no Exercício Corrente</t>
  </si>
  <si>
    <t>( - ) Desembolsos de Recursos de Contrato de Gestão</t>
  </si>
  <si>
    <t>( - ) Desembolsos de Recursos de Captações</t>
  </si>
  <si>
    <t>( - ) IR/IOF/Demais c/ Aplicações Financeiras s/ Recursos Repassados</t>
  </si>
  <si>
    <t>( - ) IR/IOF/Demais c/ Aplicações Financeiras s/ Recursos Captados</t>
  </si>
  <si>
    <t>( = ) Total de Recursos Aplicados</t>
  </si>
  <si>
    <t xml:space="preserve">( = ) Saldo de Recursos Disponíveis </t>
  </si>
  <si>
    <t>Total de Recursos Disponíveis (Caixa, Banco e Numerário em Trânsito)</t>
  </si>
  <si>
    <t xml:space="preserve">Total </t>
  </si>
  <si>
    <t>Origens x Aplicações de Recursos Vinculados ao Contrato de Gestão n.º 04/2021</t>
  </si>
  <si>
    <t>(-) Recursos Destinados ao Fundo de Reserva</t>
  </si>
  <si>
    <t>(-) Recursos Destinados ao Fundo de Contingência</t>
  </si>
  <si>
    <t>(+) Origens de Recursos</t>
  </si>
  <si>
    <t>(+) Recursos Transferidos do Contrato de Gestão n.º 05/2016</t>
  </si>
  <si>
    <t xml:space="preserve">(+) Recursos Repassados pela SCEC </t>
  </si>
  <si>
    <t>(=) Subtotal (A)</t>
  </si>
  <si>
    <t>(=) Subtotal (B)</t>
  </si>
  <si>
    <t>Valores</t>
  </si>
  <si>
    <t>(+) Recursos Captados</t>
  </si>
  <si>
    <t>(+) Rendimentos Financeiros</t>
  </si>
  <si>
    <t>(-) Rendimentos Financeiros Vinculados aos Fundos de Reserva e de Contingência</t>
  </si>
  <si>
    <t>(=) Subtotal (C)</t>
  </si>
  <si>
    <t>(=) Total (A - B + C)</t>
  </si>
  <si>
    <t>(-) Desembolsos</t>
  </si>
  <si>
    <t>(+) Recursos - Livre Movimentação (Sem Fundos e suas variações Financeiras)</t>
  </si>
  <si>
    <t>(=) Saldo de Recursos - Livre Movimentação (Sem Fundos e suas variações Financeiras)</t>
  </si>
  <si>
    <t>(1) Repasses Públicos do Governo do Estado de São Paulo - Secretaria de Cultura e Economia Criativa</t>
  </si>
  <si>
    <t>(2) Receitas com Bilheteria, Loja, Cessão Onerosa Espaço, Programa de Parceiros/Sócios e Doações</t>
  </si>
  <si>
    <t>(3) Rendimentos Financeiros Bruto de Recursos Públicos e Captados mantidos em Contas Aplicações</t>
  </si>
  <si>
    <t>(4) Despesas pagas com Receitas de Repasses Públicos</t>
  </si>
  <si>
    <t>(5) Despesas pagas com Receitas de Captações</t>
  </si>
  <si>
    <t>(6) Despesas vinculadas aos Recursos Públicos e Captados mantidos em Contas de Aplicações Financeiras</t>
  </si>
  <si>
    <t xml:space="preserve">Origens de Recursos Vinculados ao Contrato de Gestão n.º 04/2021 </t>
  </si>
  <si>
    <t>(-) Despesas Financeiras Vinculadas aos Fundos de Reserva e/ou Contingência</t>
  </si>
  <si>
    <t>Data Base:</t>
  </si>
  <si>
    <t>Folha 01 de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</si>
</sst>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/>
    <xf numFmtId="0" fontId="9" fillId="0" borderId="0" xfId="0" applyFont="1" applyAlignment="1" applyProtection="1">
      <alignment horizontal="center"/>
    </xf>
    <xf numFmtId="0" fontId="0" fillId="0" borderId="1" xfId="0" applyFont="1" applyBorder="1" applyAlignment="1" applyProtection="1">
      <alignment horizontal="left"/>
    </xf>
    <xf numFmtId="164" fontId="0" fillId="3" borderId="1" xfId="1" applyFont="1" applyFill="1" applyBorder="1" applyProtection="1"/>
    <xf numFmtId="164" fontId="7" fillId="3" borderId="1" xfId="1" applyFont="1" applyFill="1" applyBorder="1" applyProtection="1"/>
    <xf numFmtId="164" fontId="0" fillId="0" borderId="1" xfId="1" applyFont="1" applyBorder="1" applyProtection="1"/>
    <xf numFmtId="164" fontId="7" fillId="0" borderId="1" xfId="1" applyFont="1" applyFill="1" applyBorder="1" applyProtection="1"/>
    <xf numFmtId="0" fontId="7" fillId="0" borderId="1" xfId="0" applyFont="1" applyBorder="1" applyAlignment="1" applyProtection="1">
      <alignment horizontal="left"/>
    </xf>
    <xf numFmtId="164" fontId="7" fillId="0" borderId="1" xfId="1" applyFont="1" applyBorder="1" applyProtection="1"/>
    <xf numFmtId="0" fontId="7" fillId="0" borderId="0" xfId="0" applyFont="1" applyProtection="1"/>
    <xf numFmtId="0" fontId="0" fillId="0" borderId="0" xfId="0" applyBorder="1" applyProtection="1"/>
    <xf numFmtId="0" fontId="10" fillId="0" borderId="0" xfId="0" applyFont="1" applyAlignment="1" applyProtection="1">
      <alignment horizontal="center"/>
    </xf>
    <xf numFmtId="0" fontId="7" fillId="0" borderId="0" xfId="0" applyFont="1" applyAlignment="1" applyProtection="1"/>
    <xf numFmtId="164" fontId="0" fillId="0" borderId="0" xfId="1" applyFont="1" applyProtection="1"/>
    <xf numFmtId="164" fontId="0" fillId="0" borderId="4" xfId="1" applyFont="1" applyBorder="1" applyProtection="1"/>
    <xf numFmtId="14" fontId="10" fillId="0" borderId="0" xfId="0" applyNumberFormat="1" applyFont="1" applyAlignment="1" applyProtection="1">
      <alignment horizontal="center"/>
    </xf>
    <xf numFmtId="164" fontId="7" fillId="0" borderId="0" xfId="1" applyFont="1" applyProtection="1"/>
    <xf numFmtId="0" fontId="0" fillId="0" borderId="4" xfId="0" applyBorder="1" applyProtection="1"/>
    <xf numFmtId="0" fontId="13" fillId="0" borderId="0" xfId="0" applyFont="1" applyProtection="1"/>
    <xf numFmtId="0" fontId="7" fillId="0" borderId="0" xfId="0" applyFont="1" applyAlignment="1" applyProtection="1">
      <alignment horizontal="left"/>
    </xf>
    <xf numFmtId="164" fontId="7" fillId="0" borderId="4" xfId="1" applyFont="1" applyBorder="1" applyProtection="1"/>
    <xf numFmtId="164" fontId="7" fillId="0" borderId="0" xfId="0" applyNumberFormat="1" applyFont="1" applyAlignment="1" applyProtection="1"/>
    <xf numFmtId="164" fontId="7" fillId="0" borderId="0" xfId="0" applyNumberFormat="1" applyFont="1" applyProtection="1"/>
    <xf numFmtId="164" fontId="0" fillId="0" borderId="0" xfId="1" applyFont="1" applyBorder="1" applyProtection="1"/>
    <xf numFmtId="164" fontId="3" fillId="4" borderId="0" xfId="1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164" fontId="6" fillId="0" borderId="0" xfId="1" applyFont="1" applyProtection="1"/>
    <xf numFmtId="44" fontId="0" fillId="0" borderId="0" xfId="3" applyFont="1"/>
    <xf numFmtId="44" fontId="0" fillId="0" borderId="4" xfId="3" applyFont="1" applyBorder="1"/>
    <xf numFmtId="10" fontId="0" fillId="0" borderId="0" xfId="4" applyNumberFormat="1" applyFont="1"/>
    <xf numFmtId="10" fontId="0" fillId="0" borderId="4" xfId="4" applyNumberFormat="1" applyFont="1" applyBorder="1"/>
    <xf numFmtId="44" fontId="7" fillId="0" borderId="0" xfId="3" applyFont="1"/>
    <xf numFmtId="10" fontId="7" fillId="0" borderId="0" xfId="4" applyNumberFormat="1" applyFont="1"/>
    <xf numFmtId="0" fontId="7" fillId="0" borderId="0" xfId="0" applyFont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4" fontId="7" fillId="0" borderId="5" xfId="3" applyFont="1" applyBorder="1"/>
    <xf numFmtId="44" fontId="7" fillId="0" borderId="0" xfId="3" applyFont="1" applyAlignment="1">
      <alignment horizontal="center"/>
    </xf>
    <xf numFmtId="44" fontId="4" fillId="0" borderId="0" xfId="3" applyFont="1"/>
    <xf numFmtId="0" fontId="0" fillId="0" borderId="0" xfId="0" applyBorder="1"/>
    <xf numFmtId="44" fontId="0" fillId="0" borderId="0" xfId="3" applyFont="1" applyBorder="1"/>
    <xf numFmtId="10" fontId="0" fillId="0" borderId="0" xfId="4" applyNumberFormat="1" applyFont="1" applyBorder="1"/>
    <xf numFmtId="0" fontId="7" fillId="0" borderId="0" xfId="0" applyFont="1" applyBorder="1" applyAlignment="1">
      <alignment horizontal="center"/>
    </xf>
    <xf numFmtId="10" fontId="7" fillId="0" borderId="0" xfId="4" applyNumberFormat="1" applyFont="1" applyBorder="1"/>
    <xf numFmtId="44" fontId="7" fillId="0" borderId="0" xfId="3" applyFont="1" applyBorder="1"/>
    <xf numFmtId="0" fontId="14" fillId="0" borderId="0" xfId="0" applyFont="1" applyBorder="1" applyAlignment="1">
      <alignment horizontal="center"/>
    </xf>
    <xf numFmtId="0" fontId="7" fillId="0" borderId="0" xfId="0" applyFont="1" applyBorder="1"/>
    <xf numFmtId="14" fontId="18" fillId="0" borderId="0" xfId="0" applyNumberFormat="1" applyFont="1" applyProtection="1"/>
    <xf numFmtId="0" fontId="17" fillId="0" borderId="0" xfId="0" applyFont="1" applyAlignment="1" applyProtection="1"/>
    <xf numFmtId="0" fontId="17" fillId="0" borderId="0" xfId="0" applyFont="1" applyAlignment="1" applyProtection="1">
      <alignment horizontal="right"/>
    </xf>
    <xf numFmtId="14" fontId="17" fillId="0" borderId="0" xfId="0" applyNumberFormat="1" applyFont="1" applyAlignment="1" applyProtection="1">
      <alignment horizontal="center"/>
    </xf>
    <xf numFmtId="14" fontId="18" fillId="0" borderId="0" xfId="0" applyNumberFormat="1" applyFont="1" applyAlignment="1" applyProtection="1">
      <alignment horizontal="center"/>
    </xf>
    <xf numFmtId="14" fontId="18" fillId="4" borderId="0" xfId="0" applyNumberFormat="1" applyFont="1" applyFill="1" applyAlignment="1" applyProtection="1">
      <alignment horizontal="center"/>
    </xf>
    <xf numFmtId="0" fontId="8" fillId="0" borderId="0" xfId="0" applyFont="1" applyAlignment="1" applyProtection="1"/>
    <xf numFmtId="0" fontId="10" fillId="2" borderId="0" xfId="0" applyFont="1" applyFill="1" applyAlignment="1" applyProtection="1">
      <alignment horizontal="left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justify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justify"/>
    </xf>
    <xf numFmtId="0" fontId="7" fillId="0" borderId="3" xfId="0" applyFont="1" applyBorder="1" applyAlignment="1" applyProtection="1">
      <alignment horizontal="center" vertical="justify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5">
    <cellStyle name="Moeda" xfId="3" builtinId="4"/>
    <cellStyle name="Moeda 2" xfId="1"/>
    <cellStyle name="Normal" xfId="0" builtinId="0"/>
    <cellStyle name="Porcentagem" xfId="4" builtinId="5"/>
    <cellStyle name="Vírgula 2" xfId="2"/>
  </cellStyles>
  <dxfs count="0"/>
  <tableStyles count="0" defaultTableStyle="TableStyleMedium2" defaultPivotStyle="PivotStyleLight16"/>
  <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12700">
                <a:solidFill>
                  <a:schemeClr val="accent4">
                    <a:lumMod val="60000"/>
                    <a:lumOff val="40000"/>
                  </a:schemeClr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12700">
                <a:bevelT w="127000" h="127000"/>
                <a:bevelB w="127000" h="127000"/>
                <a:contourClr>
                  <a:schemeClr val="accent4">
                    <a:lumMod val="60000"/>
                    <a:lumOff val="40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accent4">
                    <a:lumMod val="60000"/>
                    <a:lumOff val="40000"/>
                  </a:schemeClr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12700">
                <a:bevelT w="127000" h="127000"/>
                <a:bevelB w="127000" h="127000"/>
                <a:contourClr>
                  <a:schemeClr val="accent4">
                    <a:lumMod val="60000"/>
                    <a:lumOff val="40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12700">
                <a:solidFill>
                  <a:schemeClr val="accent4">
                    <a:lumMod val="60000"/>
                    <a:lumOff val="40000"/>
                  </a:schemeClr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12700">
                <a:bevelT w="127000" h="127000"/>
                <a:bevelB w="127000" h="127000"/>
                <a:contourClr>
                  <a:schemeClr val="accent4">
                    <a:lumMod val="60000"/>
                    <a:lumOff val="40000"/>
                  </a:schemeClr>
                </a:contourClr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GRÁFICOS!$M$11:$M$13</c:f>
              <c:numCache>
                <c:formatCode>_("R$"* #,##0.00_);_("R$"* \(#,##0.00\);_("R$"* "-"??_);_(@_)</c:formatCode>
                <c:ptCount val="3"/>
                <c:pt idx="0">
                  <c:v>15577947</c:v>
                </c:pt>
                <c:pt idx="1">
                  <c:v>335447.40000000002</c:v>
                </c:pt>
                <c:pt idx="2">
                  <c:v>56854.44999999999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GRÁFICOS!$N$11:$N$13</c:f>
              <c:numCache>
                <c:formatCode>0.00%</c:formatCode>
                <c:ptCount val="3"/>
                <c:pt idx="0">
                  <c:v>0.97543545791398234</c:v>
                </c:pt>
                <c:pt idx="1">
                  <c:v>2.1004519287750486E-2</c:v>
                </c:pt>
                <c:pt idx="2">
                  <c:v>3.5600227982671663E-3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gradFill flip="none" rotWithShape="1">
        <a:gsLst>
          <a:gs pos="0">
            <a:schemeClr val="accent5">
              <a:lumMod val="89000"/>
            </a:schemeClr>
          </a:gs>
          <a:gs pos="23000">
            <a:schemeClr val="accent5">
              <a:lumMod val="89000"/>
            </a:schemeClr>
          </a:gs>
          <a:gs pos="69000">
            <a:schemeClr val="accent5">
              <a:lumMod val="75000"/>
            </a:schemeClr>
          </a:gs>
          <a:gs pos="97000">
            <a:schemeClr val="accent5">
              <a:lumMod val="70000"/>
            </a:schemeClr>
          </a:gs>
        </a:gsLst>
        <a:path path="circle">
          <a:fillToRect r="100000" b="100000"/>
        </a:path>
        <a:tileRect l="-100000" t="-100000"/>
      </a:gra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GRÁFICOS!$M$52:$M$53</c:f>
              <c:numCache>
                <c:formatCode>_("R$"* #,##0.00_);_("R$"* \(#,##0.00\);_("R$"* "-"??_);_(@_)</c:formatCode>
                <c:ptCount val="2"/>
                <c:pt idx="0">
                  <c:v>15855417.959999999</c:v>
                </c:pt>
                <c:pt idx="1">
                  <c:v>4889930.26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19315280"/>
        <c:axId val="119316848"/>
        <c:axId val="0"/>
      </c:bar3DChart>
      <c:catAx>
        <c:axId val="119315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9316848"/>
        <c:crosses val="autoZero"/>
        <c:auto val="1"/>
        <c:lblAlgn val="ctr"/>
        <c:lblOffset val="100"/>
        <c:noMultiLvlLbl val="0"/>
      </c:catAx>
      <c:valAx>
        <c:axId val="1193168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11931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83</xdr:row>
      <xdr:rowOff>161925</xdr:rowOff>
    </xdr:from>
    <xdr:to>
      <xdr:col>5</xdr:col>
      <xdr:colOff>600075</xdr:colOff>
      <xdr:row>86</xdr:row>
      <xdr:rowOff>181312</xdr:rowOff>
    </xdr:to>
    <xdr:pic>
      <xdr:nvPicPr>
        <xdr:cNvPr id="3" name="Imagem 2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5411450"/>
          <a:ext cx="3295650" cy="590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1057275</xdr:colOff>
      <xdr:row>0</xdr:row>
      <xdr:rowOff>38100</xdr:rowOff>
    </xdr:from>
    <xdr:to>
      <xdr:col>5</xdr:col>
      <xdr:colOff>1003825</xdr:colOff>
      <xdr:row>4</xdr:row>
      <xdr:rowOff>152400</xdr:rowOff>
    </xdr:to>
    <xdr:pic>
      <xdr:nvPicPr>
        <xdr:cNvPr id="4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8100"/>
          <a:ext cx="4128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14</xdr:row>
      <xdr:rowOff>52386</xdr:rowOff>
    </xdr:from>
    <xdr:to>
      <xdr:col>13</xdr:col>
      <xdr:colOff>523875</xdr:colOff>
      <xdr:row>31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361950</xdr:colOff>
      <xdr:row>0</xdr:row>
      <xdr:rowOff>85725</xdr:rowOff>
    </xdr:from>
    <xdr:to>
      <xdr:col>10</xdr:col>
      <xdr:colOff>222775</xdr:colOff>
      <xdr:row>5</xdr:row>
      <xdr:rowOff>9525</xdr:rowOff>
    </xdr:to>
    <xdr:pic>
      <xdr:nvPicPr>
        <xdr:cNvPr id="5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85725"/>
          <a:ext cx="4128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57</xdr:row>
      <xdr:rowOff>61911</xdr:rowOff>
    </xdr:from>
    <xdr:to>
      <xdr:col>13</xdr:col>
      <xdr:colOff>514350</xdr:colOff>
      <xdr:row>77</xdr:row>
      <xdr:rowOff>95250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%20FINANCEIROS%20E%20CONT&#193;BEIS%202021/14.%20FINANCEIRO/07%20FINANCEIRO%20JUL%202021%20(AC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ÇÃO ANUAL "/>
      <sheetName val="DIRD TCE"/>
      <sheetName val="BD RECEITAS"/>
      <sheetName val="BD DESPESAS"/>
      <sheetName val="RECURSOS DISPONÍVEIS"/>
      <sheetName val="RECEITAS FINANCEIRAS"/>
      <sheetName val="FLUXO CAIXA"/>
      <sheetName val="DOAR"/>
      <sheetName val="R G 1º QUAD"/>
      <sheetName val="R G 2º QUAD"/>
      <sheetName val="R G 3º QUAD"/>
      <sheetName val="NUMERÁRIOS TRÂNSITO"/>
      <sheetName val="CAIXA SEDE"/>
      <sheetName val="CAIXA LOJA MCP"/>
      <sheetName val="CAIXA MFL"/>
      <sheetName val="CAIXA MCP (PPS)"/>
      <sheetName val="CAIXA MIV (PPS)"/>
      <sheetName val="CC BB LOJA"/>
      <sheetName val="CC BB 10.359-4"/>
      <sheetName val="CC BB CAPTAÇÃO"/>
      <sheetName val="CC BB 609-2 PP-SÓCIOS"/>
      <sheetName val="CC CEF BILHETERIA"/>
      <sheetName val="CC BB CONTINGÊNCIA"/>
      <sheetName val="CC BB RESERVA"/>
      <sheetName val="APLIC BB 10.359-4"/>
      <sheetName val="APLIC BB LOJA"/>
      <sheetName val="APLIC BB CAPTAÇÃO"/>
      <sheetName val="APLIC BB PP-SÓCIOS"/>
      <sheetName val="APLIC CEF BILHETERIA"/>
      <sheetName val="APLIC BB CONTINGÊNCIA"/>
      <sheetName val="APLIC BB RESERV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138"/>
  <sheetViews>
    <sheetView showGridLines="0" tabSelected="1" zoomScaleNormal="100" workbookViewId="0">
      <selection activeCell="D8" sqref="D8"/>
    </sheetView>
  </sheetViews>
  <sheetFormatPr defaultRowHeight="15" x14ac:dyDescent="0.25"/>
  <cols>
    <col min="1" max="1" width="0.7109375" style="1" customWidth="1"/>
    <col min="2" max="2" width="10.7109375" style="1" bestFit="1" customWidth="1"/>
    <col min="3" max="3" width="21" style="1" customWidth="1"/>
    <col min="4" max="4" width="19.7109375" style="1" customWidth="1"/>
    <col min="5" max="5" width="22" style="1" customWidth="1"/>
    <col min="6" max="6" width="19.140625" style="1" customWidth="1"/>
    <col min="7" max="7" width="22.42578125" style="1" bestFit="1" customWidth="1"/>
    <col min="8" max="8" width="1.85546875" style="1" customWidth="1"/>
    <col min="9" max="16384" width="9.140625" style="1"/>
  </cols>
  <sheetData>
    <row r="6" spans="2:7" ht="15.75" x14ac:dyDescent="0.25">
      <c r="B6" s="63" t="s">
        <v>1</v>
      </c>
      <c r="C6" s="63"/>
      <c r="D6" s="63"/>
      <c r="E6" s="63"/>
      <c r="F6" s="63"/>
      <c r="G6" s="63"/>
    </row>
    <row r="7" spans="2:7" ht="15.75" x14ac:dyDescent="0.25">
      <c r="B7" s="63" t="s">
        <v>2</v>
      </c>
      <c r="C7" s="63"/>
      <c r="D7" s="63"/>
      <c r="E7" s="63"/>
      <c r="F7" s="63"/>
      <c r="G7" s="63"/>
    </row>
    <row r="8" spans="2:7" ht="15.75" x14ac:dyDescent="0.25">
      <c r="C8" s="51" t="s">
        <v>97</v>
      </c>
      <c r="D8" s="52">
        <v>44561</v>
      </c>
      <c r="E8" s="50"/>
      <c r="F8" s="50"/>
      <c r="G8" s="2" t="s">
        <v>3</v>
      </c>
    </row>
    <row r="9" spans="2:7" ht="5.0999999999999996" customHeight="1" x14ac:dyDescent="0.25"/>
    <row r="10" spans="2:7" x14ac:dyDescent="0.25">
      <c r="B10" s="68" t="s">
        <v>4</v>
      </c>
      <c r="C10" s="68"/>
      <c r="D10" s="68"/>
      <c r="E10" s="68"/>
      <c r="F10" s="68"/>
      <c r="G10" s="68"/>
    </row>
    <row r="11" spans="2:7" ht="5.0999999999999996" customHeight="1" x14ac:dyDescent="0.25"/>
    <row r="12" spans="2:7" ht="15" customHeight="1" x14ac:dyDescent="0.25">
      <c r="B12" s="69" t="s">
        <v>5</v>
      </c>
      <c r="C12" s="70" t="s">
        <v>6</v>
      </c>
      <c r="D12" s="70" t="s">
        <v>7</v>
      </c>
      <c r="E12" s="71" t="s">
        <v>8</v>
      </c>
      <c r="F12" s="71"/>
      <c r="G12" s="69" t="s">
        <v>0</v>
      </c>
    </row>
    <row r="13" spans="2:7" ht="30" customHeight="1" x14ac:dyDescent="0.25">
      <c r="B13" s="69"/>
      <c r="C13" s="70"/>
      <c r="D13" s="70"/>
      <c r="E13" s="72" t="s">
        <v>9</v>
      </c>
      <c r="F13" s="72" t="s">
        <v>10</v>
      </c>
      <c r="G13" s="69"/>
    </row>
    <row r="14" spans="2:7" x14ac:dyDescent="0.25">
      <c r="B14" s="69"/>
      <c r="C14" s="70"/>
      <c r="D14" s="70"/>
      <c r="E14" s="73"/>
      <c r="F14" s="73"/>
      <c r="G14" s="69"/>
    </row>
    <row r="15" spans="2:7" x14ac:dyDescent="0.25">
      <c r="B15" s="3" t="s">
        <v>11</v>
      </c>
      <c r="C15" s="4">
        <v>0</v>
      </c>
      <c r="D15" s="4">
        <v>0</v>
      </c>
      <c r="E15" s="4">
        <v>0</v>
      </c>
      <c r="F15" s="4">
        <v>0</v>
      </c>
      <c r="G15" s="5">
        <f>SUM(C15:F15)</f>
        <v>0</v>
      </c>
    </row>
    <row r="16" spans="2:7" x14ac:dyDescent="0.25">
      <c r="B16" s="3" t="s">
        <v>12</v>
      </c>
      <c r="C16" s="4">
        <v>0</v>
      </c>
      <c r="D16" s="4">
        <v>0</v>
      </c>
      <c r="E16" s="4">
        <v>0</v>
      </c>
      <c r="F16" s="4">
        <v>0</v>
      </c>
      <c r="G16" s="5">
        <f t="shared" ref="G16:G26" si="0">SUM(C16:F16)</f>
        <v>0</v>
      </c>
    </row>
    <row r="17" spans="2:7" x14ac:dyDescent="0.25">
      <c r="B17" s="3" t="s">
        <v>13</v>
      </c>
      <c r="C17" s="4">
        <v>0</v>
      </c>
      <c r="D17" s="4">
        <v>0</v>
      </c>
      <c r="E17" s="4">
        <v>0</v>
      </c>
      <c r="F17" s="4">
        <v>0</v>
      </c>
      <c r="G17" s="5">
        <f t="shared" si="0"/>
        <v>0</v>
      </c>
    </row>
    <row r="18" spans="2:7" x14ac:dyDescent="0.25">
      <c r="B18" s="3" t="s">
        <v>14</v>
      </c>
      <c r="C18" s="4">
        <v>0</v>
      </c>
      <c r="D18" s="4">
        <v>0</v>
      </c>
      <c r="E18" s="4">
        <v>0</v>
      </c>
      <c r="F18" s="4">
        <v>0</v>
      </c>
      <c r="G18" s="5">
        <f t="shared" si="0"/>
        <v>0</v>
      </c>
    </row>
    <row r="19" spans="2:7" x14ac:dyDescent="0.25">
      <c r="B19" s="3" t="s">
        <v>15</v>
      </c>
      <c r="C19" s="4">
        <v>0</v>
      </c>
      <c r="D19" s="4">
        <v>0</v>
      </c>
      <c r="E19" s="4">
        <v>0</v>
      </c>
      <c r="F19" s="4">
        <v>0</v>
      </c>
      <c r="G19" s="5">
        <f t="shared" si="0"/>
        <v>0</v>
      </c>
    </row>
    <row r="20" spans="2:7" x14ac:dyDescent="0.25">
      <c r="B20" s="3" t="s">
        <v>16</v>
      </c>
      <c r="C20" s="4">
        <v>0</v>
      </c>
      <c r="D20" s="4">
        <v>0</v>
      </c>
      <c r="E20" s="4">
        <v>0</v>
      </c>
      <c r="F20" s="4">
        <v>0</v>
      </c>
      <c r="G20" s="5">
        <f t="shared" si="0"/>
        <v>0</v>
      </c>
    </row>
    <row r="21" spans="2:7" x14ac:dyDescent="0.25">
      <c r="B21" s="3" t="s">
        <v>17</v>
      </c>
      <c r="C21" s="6">
        <v>929657</v>
      </c>
      <c r="D21" s="6">
        <v>24634.68</v>
      </c>
      <c r="E21" s="6">
        <v>3519.92</v>
      </c>
      <c r="F21" s="6">
        <v>7.28</v>
      </c>
      <c r="G21" s="7">
        <f t="shared" si="0"/>
        <v>957818.88000000012</v>
      </c>
    </row>
    <row r="22" spans="2:7" x14ac:dyDescent="0.25">
      <c r="B22" s="3" t="s">
        <v>18</v>
      </c>
      <c r="C22" s="6">
        <v>929657</v>
      </c>
      <c r="D22" s="6">
        <v>38084.35</v>
      </c>
      <c r="E22" s="6">
        <v>5455.03</v>
      </c>
      <c r="F22" s="6">
        <v>72.180000000000007</v>
      </c>
      <c r="G22" s="7">
        <f t="shared" si="0"/>
        <v>973268.56</v>
      </c>
    </row>
    <row r="23" spans="2:7" x14ac:dyDescent="0.25">
      <c r="B23" s="3" t="s">
        <v>19</v>
      </c>
      <c r="C23" s="6">
        <v>929657</v>
      </c>
      <c r="D23" s="6">
        <v>47264.46</v>
      </c>
      <c r="E23" s="6">
        <v>6839.87</v>
      </c>
      <c r="F23" s="6">
        <v>139.86000000000001</v>
      </c>
      <c r="G23" s="7">
        <f t="shared" si="0"/>
        <v>983901.19</v>
      </c>
    </row>
    <row r="24" spans="2:7" x14ac:dyDescent="0.25">
      <c r="B24" s="3" t="s">
        <v>20</v>
      </c>
      <c r="C24" s="6">
        <v>929657</v>
      </c>
      <c r="D24" s="6">
        <v>32936.629999999997</v>
      </c>
      <c r="E24" s="6">
        <v>8240.5300000000007</v>
      </c>
      <c r="F24" s="6">
        <v>281.47000000000003</v>
      </c>
      <c r="G24" s="7">
        <f t="shared" si="0"/>
        <v>971115.63</v>
      </c>
    </row>
    <row r="25" spans="2:7" x14ac:dyDescent="0.25">
      <c r="B25" s="3" t="s">
        <v>21</v>
      </c>
      <c r="C25" s="6">
        <v>929657</v>
      </c>
      <c r="D25" s="6">
        <v>36134.78</v>
      </c>
      <c r="E25" s="6">
        <v>11924.41</v>
      </c>
      <c r="F25" s="6">
        <v>485.14</v>
      </c>
      <c r="G25" s="7">
        <f t="shared" si="0"/>
        <v>978201.33000000007</v>
      </c>
    </row>
    <row r="26" spans="2:7" x14ac:dyDescent="0.25">
      <c r="B26" s="3" t="s">
        <v>22</v>
      </c>
      <c r="C26" s="6">
        <v>10929662</v>
      </c>
      <c r="D26" s="6">
        <v>156392.5</v>
      </c>
      <c r="E26" s="6">
        <v>19007.62</v>
      </c>
      <c r="F26" s="6">
        <v>881.14</v>
      </c>
      <c r="G26" s="7">
        <f t="shared" si="0"/>
        <v>11105943.26</v>
      </c>
    </row>
    <row r="27" spans="2:7" s="10" customFormat="1" x14ac:dyDescent="0.25">
      <c r="B27" s="8" t="s">
        <v>0</v>
      </c>
      <c r="C27" s="9">
        <f>SUM(C15:C26)</f>
        <v>15577947</v>
      </c>
      <c r="D27" s="9">
        <f>SUM(D15:D26)</f>
        <v>335447.40000000002</v>
      </c>
      <c r="E27" s="9">
        <f>SUM(E15:E26)</f>
        <v>54987.37999999999</v>
      </c>
      <c r="F27" s="9">
        <f>SUM(F15:F26)</f>
        <v>1867.0700000000002</v>
      </c>
      <c r="G27" s="9">
        <f>SUM(G15:G26)</f>
        <v>15970248.85</v>
      </c>
    </row>
    <row r="28" spans="2:7" ht="5.0999999999999996" customHeight="1" x14ac:dyDescent="0.25"/>
    <row r="29" spans="2:7" s="11" customFormat="1" x14ac:dyDescent="0.25">
      <c r="B29" s="66" t="s">
        <v>89</v>
      </c>
      <c r="C29" s="66"/>
      <c r="D29" s="66"/>
      <c r="E29" s="66"/>
      <c r="F29" s="66"/>
      <c r="G29" s="66"/>
    </row>
    <row r="30" spans="2:7" x14ac:dyDescent="0.25">
      <c r="B30" s="66" t="s">
        <v>90</v>
      </c>
      <c r="C30" s="66"/>
      <c r="D30" s="66"/>
      <c r="E30" s="66"/>
      <c r="F30" s="66"/>
      <c r="G30" s="66"/>
    </row>
    <row r="31" spans="2:7" x14ac:dyDescent="0.25">
      <c r="B31" s="66" t="s">
        <v>91</v>
      </c>
      <c r="C31" s="66"/>
      <c r="D31" s="66"/>
      <c r="E31" s="66"/>
      <c r="F31" s="66"/>
      <c r="G31" s="66"/>
    </row>
    <row r="32" spans="2:7" x14ac:dyDescent="0.25">
      <c r="B32" s="67"/>
      <c r="C32" s="67"/>
      <c r="D32" s="67"/>
      <c r="E32" s="67"/>
      <c r="F32" s="67"/>
      <c r="G32" s="67"/>
    </row>
    <row r="33" spans="2:7" x14ac:dyDescent="0.25">
      <c r="B33" s="68" t="s">
        <v>23</v>
      </c>
      <c r="C33" s="68"/>
      <c r="D33" s="68"/>
      <c r="E33" s="68"/>
      <c r="F33" s="68"/>
      <c r="G33" s="68"/>
    </row>
    <row r="34" spans="2:7" ht="5.0999999999999996" customHeight="1" x14ac:dyDescent="0.25"/>
    <row r="35" spans="2:7" x14ac:dyDescent="0.25">
      <c r="B35" s="69" t="s">
        <v>5</v>
      </c>
      <c r="C35" s="70" t="s">
        <v>24</v>
      </c>
      <c r="D35" s="70" t="s">
        <v>25</v>
      </c>
      <c r="E35" s="71" t="s">
        <v>26</v>
      </c>
      <c r="F35" s="71"/>
      <c r="G35" s="69" t="s">
        <v>0</v>
      </c>
    </row>
    <row r="36" spans="2:7" ht="30" customHeight="1" x14ac:dyDescent="0.25">
      <c r="B36" s="69"/>
      <c r="C36" s="70"/>
      <c r="D36" s="70"/>
      <c r="E36" s="72" t="s">
        <v>27</v>
      </c>
      <c r="F36" s="72" t="s">
        <v>28</v>
      </c>
      <c r="G36" s="69"/>
    </row>
    <row r="37" spans="2:7" x14ac:dyDescent="0.25">
      <c r="B37" s="69"/>
      <c r="C37" s="70"/>
      <c r="D37" s="70"/>
      <c r="E37" s="73"/>
      <c r="F37" s="73"/>
      <c r="G37" s="69"/>
    </row>
    <row r="38" spans="2:7" x14ac:dyDescent="0.25">
      <c r="B38" s="3" t="s">
        <v>11</v>
      </c>
      <c r="C38" s="4">
        <v>0</v>
      </c>
      <c r="D38" s="4">
        <v>0</v>
      </c>
      <c r="E38" s="4">
        <v>0</v>
      </c>
      <c r="F38" s="4">
        <v>0</v>
      </c>
      <c r="G38" s="5">
        <f>SUM(C38:F38)</f>
        <v>0</v>
      </c>
    </row>
    <row r="39" spans="2:7" x14ac:dyDescent="0.25">
      <c r="B39" s="3" t="s">
        <v>12</v>
      </c>
      <c r="C39" s="4">
        <v>0</v>
      </c>
      <c r="D39" s="4">
        <v>0</v>
      </c>
      <c r="E39" s="4">
        <v>0</v>
      </c>
      <c r="F39" s="4">
        <v>0</v>
      </c>
      <c r="G39" s="5">
        <f t="shared" ref="G39:G49" si="1">SUM(C39:F39)</f>
        <v>0</v>
      </c>
    </row>
    <row r="40" spans="2:7" x14ac:dyDescent="0.25">
      <c r="B40" s="3" t="s">
        <v>13</v>
      </c>
      <c r="C40" s="4">
        <v>0</v>
      </c>
      <c r="D40" s="4">
        <v>0</v>
      </c>
      <c r="E40" s="4">
        <v>0</v>
      </c>
      <c r="F40" s="4">
        <v>0</v>
      </c>
      <c r="G40" s="5">
        <f t="shared" si="1"/>
        <v>0</v>
      </c>
    </row>
    <row r="41" spans="2:7" x14ac:dyDescent="0.25">
      <c r="B41" s="3" t="s">
        <v>14</v>
      </c>
      <c r="C41" s="4">
        <v>0</v>
      </c>
      <c r="D41" s="4">
        <v>0</v>
      </c>
      <c r="E41" s="4">
        <v>0</v>
      </c>
      <c r="F41" s="4">
        <v>0</v>
      </c>
      <c r="G41" s="5">
        <f t="shared" si="1"/>
        <v>0</v>
      </c>
    </row>
    <row r="42" spans="2:7" x14ac:dyDescent="0.25">
      <c r="B42" s="3" t="s">
        <v>15</v>
      </c>
      <c r="C42" s="4">
        <v>0</v>
      </c>
      <c r="D42" s="4">
        <v>0</v>
      </c>
      <c r="E42" s="4">
        <v>0</v>
      </c>
      <c r="F42" s="4">
        <v>0</v>
      </c>
      <c r="G42" s="5">
        <f t="shared" si="1"/>
        <v>0</v>
      </c>
    </row>
    <row r="43" spans="2:7" x14ac:dyDescent="0.25">
      <c r="B43" s="3" t="s">
        <v>16</v>
      </c>
      <c r="C43" s="4">
        <v>0</v>
      </c>
      <c r="D43" s="4">
        <v>0</v>
      </c>
      <c r="E43" s="4">
        <v>0</v>
      </c>
      <c r="F43" s="4">
        <v>0</v>
      </c>
      <c r="G43" s="5">
        <f t="shared" si="1"/>
        <v>0</v>
      </c>
    </row>
    <row r="44" spans="2:7" x14ac:dyDescent="0.25">
      <c r="B44" s="3" t="s">
        <v>17</v>
      </c>
      <c r="C44" s="6">
        <v>224984.87</v>
      </c>
      <c r="D44" s="6">
        <v>99</v>
      </c>
      <c r="E44" s="6">
        <v>149.28</v>
      </c>
      <c r="F44" s="6">
        <v>0</v>
      </c>
      <c r="G44" s="7">
        <f t="shared" si="1"/>
        <v>225233.15</v>
      </c>
    </row>
    <row r="45" spans="2:7" x14ac:dyDescent="0.25">
      <c r="B45" s="3" t="s">
        <v>18</v>
      </c>
      <c r="C45" s="6">
        <v>834486.75</v>
      </c>
      <c r="D45" s="6">
        <v>12508.97</v>
      </c>
      <c r="E45" s="6">
        <v>344.01</v>
      </c>
      <c r="F45" s="6">
        <v>7.91</v>
      </c>
      <c r="G45" s="7">
        <f>SUM(C45:F45)</f>
        <v>847347.64</v>
      </c>
    </row>
    <row r="46" spans="2:7" x14ac:dyDescent="0.25">
      <c r="B46" s="3" t="s">
        <v>19</v>
      </c>
      <c r="C46" s="6">
        <v>856424.99</v>
      </c>
      <c r="D46" s="6">
        <v>3242.74</v>
      </c>
      <c r="E46" s="6">
        <v>623.69000000000005</v>
      </c>
      <c r="F46" s="6">
        <v>0.43</v>
      </c>
      <c r="G46" s="7">
        <f t="shared" si="1"/>
        <v>860291.85</v>
      </c>
    </row>
    <row r="47" spans="2:7" x14ac:dyDescent="0.25">
      <c r="B47" s="3" t="s">
        <v>20</v>
      </c>
      <c r="C47" s="6">
        <v>859710.4</v>
      </c>
      <c r="D47" s="6">
        <v>9427.2900000000009</v>
      </c>
      <c r="E47" s="6">
        <v>988.55</v>
      </c>
      <c r="F47" s="6">
        <v>5.5</v>
      </c>
      <c r="G47" s="7">
        <f t="shared" si="1"/>
        <v>870131.74000000011</v>
      </c>
    </row>
    <row r="48" spans="2:7" x14ac:dyDescent="0.25">
      <c r="B48" s="3" t="s">
        <v>21</v>
      </c>
      <c r="C48" s="6">
        <v>909668.89</v>
      </c>
      <c r="D48" s="6">
        <v>6203.88</v>
      </c>
      <c r="E48" s="6">
        <v>5375.05</v>
      </c>
      <c r="F48" s="6">
        <v>188.75</v>
      </c>
      <c r="G48" s="7">
        <f t="shared" si="1"/>
        <v>921436.57000000007</v>
      </c>
    </row>
    <row r="49" spans="2:7" x14ac:dyDescent="0.25">
      <c r="B49" s="3" t="s">
        <v>22</v>
      </c>
      <c r="C49" s="6">
        <v>1160411.72</v>
      </c>
      <c r="D49" s="6">
        <v>3717.11</v>
      </c>
      <c r="E49" s="6">
        <v>1360.45</v>
      </c>
      <c r="F49" s="6">
        <v>0.03</v>
      </c>
      <c r="G49" s="7">
        <f t="shared" si="1"/>
        <v>1165489.31</v>
      </c>
    </row>
    <row r="50" spans="2:7" x14ac:dyDescent="0.25">
      <c r="B50" s="8" t="s">
        <v>0</v>
      </c>
      <c r="C50" s="9">
        <f>SUM(C38:C49)</f>
        <v>4845687.62</v>
      </c>
      <c r="D50" s="9">
        <f>SUM(D38:D49)</f>
        <v>35198.99</v>
      </c>
      <c r="E50" s="9">
        <f>SUM(E38:E49)</f>
        <v>8841.0300000000007</v>
      </c>
      <c r="F50" s="9">
        <f>SUM(F38:F49)</f>
        <v>202.62</v>
      </c>
      <c r="G50" s="9">
        <f>SUM(G38:G49)</f>
        <v>4889930.26</v>
      </c>
    </row>
    <row r="51" spans="2:7" ht="5.0999999999999996" customHeight="1" x14ac:dyDescent="0.25"/>
    <row r="52" spans="2:7" x14ac:dyDescent="0.25">
      <c r="B52" s="66" t="s">
        <v>92</v>
      </c>
      <c r="C52" s="66"/>
      <c r="D52" s="66"/>
      <c r="E52" s="66"/>
      <c r="F52" s="66"/>
      <c r="G52" s="66"/>
    </row>
    <row r="53" spans="2:7" x14ac:dyDescent="0.25">
      <c r="B53" s="66" t="s">
        <v>93</v>
      </c>
      <c r="C53" s="66"/>
      <c r="D53" s="66"/>
      <c r="E53" s="66"/>
      <c r="F53" s="66"/>
      <c r="G53" s="66"/>
    </row>
    <row r="54" spans="2:7" x14ac:dyDescent="0.25">
      <c r="B54" s="66" t="s">
        <v>94</v>
      </c>
      <c r="C54" s="66"/>
      <c r="D54" s="66"/>
      <c r="E54" s="66"/>
      <c r="F54" s="66"/>
      <c r="G54" s="66"/>
    </row>
    <row r="55" spans="2:7" ht="5.0999999999999996" customHeight="1" x14ac:dyDescent="0.25"/>
    <row r="56" spans="2:7" x14ac:dyDescent="0.25">
      <c r="B56" s="12" t="s">
        <v>29</v>
      </c>
      <c r="C56" s="59" t="s">
        <v>30</v>
      </c>
      <c r="D56" s="59"/>
      <c r="E56" s="59"/>
      <c r="F56" s="59"/>
      <c r="G56" s="13"/>
    </row>
    <row r="57" spans="2:7" x14ac:dyDescent="0.25">
      <c r="B57" s="57"/>
      <c r="C57" s="58" t="s">
        <v>31</v>
      </c>
      <c r="D57" s="58"/>
      <c r="E57" s="58"/>
      <c r="F57" s="14">
        <v>0</v>
      </c>
    </row>
    <row r="58" spans="2:7" x14ac:dyDescent="0.25">
      <c r="B58" s="57"/>
      <c r="C58" s="58" t="s">
        <v>32</v>
      </c>
      <c r="D58" s="58"/>
      <c r="E58" s="58"/>
      <c r="F58" s="14">
        <v>0</v>
      </c>
    </row>
    <row r="59" spans="2:7" x14ac:dyDescent="0.25">
      <c r="B59" s="57"/>
      <c r="C59" s="58" t="s">
        <v>33</v>
      </c>
      <c r="D59" s="58"/>
      <c r="E59" s="58"/>
      <c r="F59" s="14">
        <v>0</v>
      </c>
    </row>
    <row r="60" spans="2:7" ht="15.75" thickBot="1" x14ac:dyDescent="0.3">
      <c r="B60" s="57"/>
      <c r="C60" s="58" t="s">
        <v>34</v>
      </c>
      <c r="D60" s="58"/>
      <c r="E60" s="58"/>
      <c r="F60" s="15">
        <v>0</v>
      </c>
    </row>
    <row r="61" spans="2:7" s="10" customFormat="1" ht="15.75" thickTop="1" x14ac:dyDescent="0.25">
      <c r="B61" s="16">
        <v>44378</v>
      </c>
      <c r="C61" s="59" t="s">
        <v>35</v>
      </c>
      <c r="D61" s="59"/>
      <c r="E61" s="59"/>
      <c r="F61" s="17">
        <f>SUM(F57:F60)</f>
        <v>0</v>
      </c>
    </row>
    <row r="62" spans="2:7" x14ac:dyDescent="0.25">
      <c r="B62" s="57"/>
      <c r="C62" s="58" t="s">
        <v>36</v>
      </c>
      <c r="D62" s="58"/>
      <c r="E62" s="58"/>
      <c r="F62" s="14">
        <v>0</v>
      </c>
    </row>
    <row r="63" spans="2:7" x14ac:dyDescent="0.25">
      <c r="B63" s="57"/>
      <c r="C63" s="58" t="s">
        <v>37</v>
      </c>
      <c r="D63" s="58"/>
      <c r="E63" s="58"/>
      <c r="F63" s="14">
        <v>0</v>
      </c>
    </row>
    <row r="64" spans="2:7" x14ac:dyDescent="0.25">
      <c r="B64" s="57"/>
      <c r="C64" s="58" t="s">
        <v>38</v>
      </c>
      <c r="D64" s="58"/>
      <c r="E64" s="58"/>
      <c r="F64" s="14">
        <v>0</v>
      </c>
    </row>
    <row r="65" spans="2:7" x14ac:dyDescent="0.25">
      <c r="B65" s="57"/>
      <c r="C65" s="58" t="s">
        <v>39</v>
      </c>
      <c r="D65" s="58"/>
      <c r="E65" s="58"/>
      <c r="F65" s="14">
        <v>0</v>
      </c>
    </row>
    <row r="66" spans="2:7" x14ac:dyDescent="0.25">
      <c r="B66" s="57"/>
      <c r="C66" s="58" t="s">
        <v>40</v>
      </c>
      <c r="D66" s="58"/>
      <c r="E66" s="58"/>
      <c r="F66" s="14">
        <v>0</v>
      </c>
    </row>
    <row r="67" spans="2:7" ht="15.75" thickBot="1" x14ac:dyDescent="0.3">
      <c r="B67" s="57"/>
      <c r="C67" s="58" t="s">
        <v>41</v>
      </c>
      <c r="D67" s="58"/>
      <c r="E67" s="58"/>
      <c r="F67" s="15">
        <v>0</v>
      </c>
    </row>
    <row r="68" spans="2:7" s="10" customFormat="1" ht="15.75" thickTop="1" x14ac:dyDescent="0.25">
      <c r="B68" s="16">
        <f>$B$61</f>
        <v>44378</v>
      </c>
      <c r="C68" s="59" t="s">
        <v>42</v>
      </c>
      <c r="D68" s="59"/>
      <c r="E68" s="59"/>
      <c r="F68" s="17">
        <f>SUM(F62:F67)</f>
        <v>0</v>
      </c>
    </row>
    <row r="69" spans="2:7" x14ac:dyDescent="0.25">
      <c r="B69" s="57"/>
      <c r="C69" s="58" t="s">
        <v>43</v>
      </c>
      <c r="D69" s="58"/>
      <c r="E69" s="58"/>
      <c r="F69" s="14">
        <v>0</v>
      </c>
    </row>
    <row r="70" spans="2:7" x14ac:dyDescent="0.25">
      <c r="B70" s="57"/>
      <c r="C70" s="58" t="s">
        <v>44</v>
      </c>
      <c r="D70" s="58"/>
      <c r="E70" s="58"/>
      <c r="F70" s="14">
        <v>0</v>
      </c>
    </row>
    <row r="71" spans="2:7" x14ac:dyDescent="0.25">
      <c r="B71" s="57"/>
      <c r="C71" s="58" t="s">
        <v>45</v>
      </c>
      <c r="D71" s="58"/>
      <c r="E71" s="58"/>
      <c r="F71" s="14">
        <v>0</v>
      </c>
    </row>
    <row r="72" spans="2:7" x14ac:dyDescent="0.25">
      <c r="B72" s="57"/>
      <c r="C72" s="58" t="s">
        <v>46</v>
      </c>
      <c r="D72" s="58"/>
      <c r="E72" s="58"/>
      <c r="F72" s="14">
        <v>0</v>
      </c>
    </row>
    <row r="73" spans="2:7" x14ac:dyDescent="0.25">
      <c r="B73" s="57"/>
      <c r="C73" s="58" t="s">
        <v>47</v>
      </c>
      <c r="D73" s="58"/>
      <c r="E73" s="58"/>
      <c r="F73" s="14">
        <v>0</v>
      </c>
    </row>
    <row r="74" spans="2:7" ht="15.75" thickBot="1" x14ac:dyDescent="0.3">
      <c r="B74" s="57"/>
      <c r="C74" s="58" t="s">
        <v>48</v>
      </c>
      <c r="D74" s="58"/>
      <c r="E74" s="58"/>
      <c r="F74" s="15">
        <v>0</v>
      </c>
    </row>
    <row r="75" spans="2:7" s="10" customFormat="1" ht="15.75" thickTop="1" x14ac:dyDescent="0.25">
      <c r="B75" s="16">
        <f>$B$61</f>
        <v>44378</v>
      </c>
      <c r="C75" s="59" t="s">
        <v>49</v>
      </c>
      <c r="D75" s="59"/>
      <c r="E75" s="59"/>
      <c r="F75" s="17">
        <f>SUM(F69:F74)</f>
        <v>0</v>
      </c>
    </row>
    <row r="76" spans="2:7" ht="5.0999999999999996" customHeight="1" thickBot="1" x14ac:dyDescent="0.3">
      <c r="G76" s="18"/>
    </row>
    <row r="77" spans="2:7" s="10" customFormat="1" ht="15.75" thickTop="1" x14ac:dyDescent="0.25">
      <c r="B77" s="16">
        <f>$B$61</f>
        <v>44378</v>
      </c>
      <c r="C77" s="64" t="s">
        <v>50</v>
      </c>
      <c r="D77" s="64"/>
      <c r="E77" s="64"/>
      <c r="F77" s="64"/>
      <c r="G77" s="17">
        <f>F61+F68+F75</f>
        <v>0</v>
      </c>
    </row>
    <row r="78" spans="2:7" ht="15.75" thickBot="1" x14ac:dyDescent="0.3">
      <c r="B78" s="19"/>
      <c r="C78" s="65" t="s">
        <v>51</v>
      </c>
      <c r="D78" s="65"/>
      <c r="E78" s="65"/>
      <c r="F78" s="15">
        <v>0</v>
      </c>
    </row>
    <row r="79" spans="2:7" s="10" customFormat="1" ht="15.75" thickTop="1" x14ac:dyDescent="0.25">
      <c r="B79" s="16">
        <f>$B$61</f>
        <v>44378</v>
      </c>
      <c r="C79" s="64" t="s">
        <v>52</v>
      </c>
      <c r="D79" s="64"/>
      <c r="E79" s="64"/>
      <c r="F79" s="17">
        <f>F78</f>
        <v>0</v>
      </c>
    </row>
    <row r="80" spans="2:7" ht="5.0999999999999996" customHeight="1" thickBot="1" x14ac:dyDescent="0.3">
      <c r="B80" s="19"/>
      <c r="G80" s="18"/>
    </row>
    <row r="81" spans="2:7" s="10" customFormat="1" ht="15.75" thickTop="1" x14ac:dyDescent="0.25">
      <c r="B81" s="16">
        <f>$B$61</f>
        <v>44378</v>
      </c>
      <c r="C81" s="64" t="s">
        <v>53</v>
      </c>
      <c r="D81" s="64"/>
      <c r="E81" s="64"/>
      <c r="F81" s="64"/>
      <c r="G81" s="17">
        <f>G77+F79</f>
        <v>0</v>
      </c>
    </row>
    <row r="82" spans="2:7" s="10" customFormat="1" x14ac:dyDescent="0.25">
      <c r="B82" s="16"/>
      <c r="C82" s="20"/>
      <c r="D82" s="20"/>
      <c r="E82" s="20"/>
      <c r="F82" s="20"/>
      <c r="G82" s="17"/>
    </row>
    <row r="89" spans="2:7" ht="15.75" x14ac:dyDescent="0.25">
      <c r="B89" s="63" t="str">
        <f>B6</f>
        <v>Associação Cultural de Apoio ao Museu Casa de Portinari - Organização Social de Cultura</v>
      </c>
      <c r="C89" s="63"/>
      <c r="D89" s="63"/>
      <c r="E89" s="63"/>
      <c r="F89" s="63"/>
      <c r="G89" s="63"/>
    </row>
    <row r="90" spans="2:7" ht="15.75" x14ac:dyDescent="0.25">
      <c r="B90" s="63" t="str">
        <f>B7</f>
        <v>Demonstrativo de Composição e Conciliação Financeira - Contrato de Gestão n.º 04/2021</v>
      </c>
      <c r="C90" s="63"/>
      <c r="D90" s="63"/>
      <c r="E90" s="63"/>
      <c r="F90" s="63"/>
      <c r="G90" s="63"/>
    </row>
    <row r="91" spans="2:7" ht="15.75" x14ac:dyDescent="0.25">
      <c r="B91" s="55"/>
      <c r="C91" s="51" t="s">
        <v>97</v>
      </c>
      <c r="D91" s="52">
        <f>$D$8</f>
        <v>44561</v>
      </c>
      <c r="E91" s="55"/>
      <c r="F91" s="55"/>
      <c r="G91" s="2" t="s">
        <v>54</v>
      </c>
    </row>
    <row r="92" spans="2:7" ht="5.0999999999999996" customHeight="1" x14ac:dyDescent="0.25"/>
    <row r="93" spans="2:7" s="10" customFormat="1" ht="15.75" thickBot="1" x14ac:dyDescent="0.3">
      <c r="B93" s="16">
        <v>44377</v>
      </c>
      <c r="C93" s="59" t="s">
        <v>55</v>
      </c>
      <c r="D93" s="59"/>
      <c r="E93" s="59"/>
      <c r="G93" s="21">
        <v>0</v>
      </c>
    </row>
    <row r="94" spans="2:7" ht="5.0999999999999996" customHeight="1" thickTop="1" x14ac:dyDescent="0.25">
      <c r="B94" s="19"/>
      <c r="G94" s="11"/>
    </row>
    <row r="95" spans="2:7" x14ac:dyDescent="0.25">
      <c r="B95" s="57"/>
      <c r="C95" s="56" t="s">
        <v>56</v>
      </c>
      <c r="D95" s="56"/>
      <c r="E95" s="56"/>
      <c r="F95" s="56"/>
      <c r="G95" s="11"/>
    </row>
    <row r="96" spans="2:7" x14ac:dyDescent="0.25">
      <c r="B96" s="57"/>
      <c r="C96" s="58" t="s">
        <v>57</v>
      </c>
      <c r="D96" s="58"/>
      <c r="E96" s="58"/>
      <c r="F96" s="14">
        <f>C27</f>
        <v>15577947</v>
      </c>
    </row>
    <row r="97" spans="2:7" x14ac:dyDescent="0.25">
      <c r="B97" s="57"/>
      <c r="C97" s="58" t="s">
        <v>58</v>
      </c>
      <c r="D97" s="58"/>
      <c r="E97" s="58"/>
      <c r="F97" s="14">
        <f>D27</f>
        <v>335447.40000000002</v>
      </c>
    </row>
    <row r="98" spans="2:7" ht="15.75" thickBot="1" x14ac:dyDescent="0.3">
      <c r="B98" s="57"/>
      <c r="C98" s="58" t="s">
        <v>59</v>
      </c>
      <c r="D98" s="58"/>
      <c r="E98" s="58"/>
      <c r="F98" s="15">
        <f>SUM(E27:F27)</f>
        <v>56854.44999999999</v>
      </c>
      <c r="G98" s="11"/>
    </row>
    <row r="99" spans="2:7" ht="15.75" thickTop="1" x14ac:dyDescent="0.25">
      <c r="B99" s="57"/>
      <c r="C99" s="59" t="s">
        <v>60</v>
      </c>
      <c r="D99" s="59"/>
      <c r="E99" s="59"/>
      <c r="F99" s="22">
        <f>SUM(F96:F98)</f>
        <v>15970248.85</v>
      </c>
      <c r="G99" s="23"/>
    </row>
    <row r="100" spans="2:7" ht="15.75" thickBot="1" x14ac:dyDescent="0.3">
      <c r="B100" s="57"/>
      <c r="C100" s="58" t="s">
        <v>61</v>
      </c>
      <c r="D100" s="58"/>
      <c r="E100" s="58"/>
      <c r="F100" s="14">
        <f>1336590.74+283939.91</f>
        <v>1620530.65</v>
      </c>
      <c r="G100" s="18"/>
    </row>
    <row r="101" spans="2:7" ht="15.75" thickTop="1" x14ac:dyDescent="0.25">
      <c r="B101" s="49">
        <f>D8</f>
        <v>44561</v>
      </c>
      <c r="C101" s="59" t="s">
        <v>62</v>
      </c>
      <c r="D101" s="59"/>
      <c r="E101" s="59"/>
      <c r="F101" s="22"/>
      <c r="G101" s="23">
        <f>F99+F100</f>
        <v>17590779.5</v>
      </c>
    </row>
    <row r="102" spans="2:7" ht="5.0999999999999996" customHeight="1" x14ac:dyDescent="0.25">
      <c r="B102" s="19"/>
      <c r="G102" s="11"/>
    </row>
    <row r="103" spans="2:7" x14ac:dyDescent="0.25">
      <c r="B103" s="57"/>
      <c r="C103" s="56" t="s">
        <v>63</v>
      </c>
      <c r="D103" s="56"/>
      <c r="E103" s="56"/>
      <c r="F103" s="56"/>
      <c r="G103" s="11"/>
    </row>
    <row r="104" spans="2:7" x14ac:dyDescent="0.25">
      <c r="B104" s="57"/>
      <c r="C104" s="58" t="s">
        <v>64</v>
      </c>
      <c r="D104" s="58"/>
      <c r="E104" s="58"/>
      <c r="F104" s="14">
        <f>C50</f>
        <v>4845687.62</v>
      </c>
    </row>
    <row r="105" spans="2:7" x14ac:dyDescent="0.25">
      <c r="B105" s="57"/>
      <c r="C105" s="58" t="s">
        <v>65</v>
      </c>
      <c r="D105" s="58"/>
      <c r="E105" s="58"/>
      <c r="F105" s="14">
        <f>D50</f>
        <v>35198.99</v>
      </c>
    </row>
    <row r="106" spans="2:7" x14ac:dyDescent="0.25">
      <c r="B106" s="57"/>
      <c r="C106" s="58" t="s">
        <v>66</v>
      </c>
      <c r="D106" s="58"/>
      <c r="E106" s="58"/>
      <c r="F106" s="24">
        <f>E50</f>
        <v>8841.0300000000007</v>
      </c>
      <c r="G106" s="11"/>
    </row>
    <row r="107" spans="2:7" ht="15.75" thickBot="1" x14ac:dyDescent="0.3">
      <c r="B107" s="57"/>
      <c r="C107" s="58" t="s">
        <v>67</v>
      </c>
      <c r="D107" s="58"/>
      <c r="E107" s="58"/>
      <c r="F107" s="24">
        <f>F50</f>
        <v>202.62</v>
      </c>
      <c r="G107" s="18"/>
    </row>
    <row r="108" spans="2:7" ht="15.75" thickTop="1" x14ac:dyDescent="0.25">
      <c r="B108" s="53">
        <f>$B$101</f>
        <v>44561</v>
      </c>
      <c r="C108" s="56" t="s">
        <v>68</v>
      </c>
      <c r="D108" s="56"/>
      <c r="E108" s="56"/>
      <c r="F108" s="56"/>
      <c r="G108" s="23">
        <f>SUM(F104:F107)</f>
        <v>4889930.2600000007</v>
      </c>
    </row>
    <row r="109" spans="2:7" ht="5.0999999999999996" customHeight="1" thickBot="1" x14ac:dyDescent="0.3">
      <c r="B109" s="19"/>
      <c r="C109" s="58"/>
      <c r="D109" s="58"/>
      <c r="E109" s="58"/>
      <c r="F109" s="24"/>
      <c r="G109" s="18"/>
    </row>
    <row r="110" spans="2:7" s="10" customFormat="1" ht="15.75" thickTop="1" x14ac:dyDescent="0.25">
      <c r="B110" s="54">
        <f>B108</f>
        <v>44561</v>
      </c>
      <c r="C110" s="61" t="s">
        <v>69</v>
      </c>
      <c r="D110" s="61"/>
      <c r="E110" s="61"/>
      <c r="F110" s="61"/>
      <c r="G110" s="25">
        <f>G101-G108</f>
        <v>12700849.239999998</v>
      </c>
    </row>
    <row r="111" spans="2:7" ht="15" customHeight="1" x14ac:dyDescent="0.25">
      <c r="B111" s="62"/>
      <c r="C111" s="62"/>
      <c r="D111" s="62"/>
      <c r="E111" s="62"/>
      <c r="F111" s="62"/>
      <c r="G111" s="62"/>
    </row>
    <row r="112" spans="2:7" x14ac:dyDescent="0.25">
      <c r="B112" s="12" t="s">
        <v>29</v>
      </c>
      <c r="C112" s="56" t="s">
        <v>30</v>
      </c>
      <c r="D112" s="56"/>
      <c r="E112" s="56"/>
      <c r="F112" s="56"/>
      <c r="G112" s="13"/>
    </row>
    <row r="113" spans="2:6" x14ac:dyDescent="0.25">
      <c r="B113" s="57"/>
      <c r="C113" s="58" t="str">
        <f>C57</f>
        <v>Caixa Sede - OS</v>
      </c>
      <c r="D113" s="58"/>
      <c r="E113" s="58"/>
      <c r="F113" s="14">
        <v>2360.4699999999998</v>
      </c>
    </row>
    <row r="114" spans="2:6" x14ac:dyDescent="0.25">
      <c r="B114" s="57"/>
      <c r="C114" s="58" t="str">
        <f t="shared" ref="C114:C130" si="2">C58</f>
        <v>Caixa Loja - MCP</v>
      </c>
      <c r="D114" s="58"/>
      <c r="E114" s="58"/>
      <c r="F114" s="14">
        <v>2903.78</v>
      </c>
    </row>
    <row r="115" spans="2:6" x14ac:dyDescent="0.25">
      <c r="B115" s="57"/>
      <c r="C115" s="58" t="str">
        <f t="shared" si="2"/>
        <v>Caixa PP/Sócios - MCP</v>
      </c>
      <c r="D115" s="58"/>
      <c r="E115" s="58"/>
      <c r="F115" s="14">
        <v>411</v>
      </c>
    </row>
    <row r="116" spans="2:6" ht="15.75" thickBot="1" x14ac:dyDescent="0.3">
      <c r="B116" s="57"/>
      <c r="C116" s="58" t="str">
        <f t="shared" si="2"/>
        <v>Caixa Bilheteria - MFL/ACS</v>
      </c>
      <c r="D116" s="58"/>
      <c r="E116" s="58"/>
      <c r="F116" s="15">
        <v>4958</v>
      </c>
    </row>
    <row r="117" spans="2:6" s="10" customFormat="1" ht="15.75" thickTop="1" x14ac:dyDescent="0.25">
      <c r="B117" s="53">
        <f>B110</f>
        <v>44561</v>
      </c>
      <c r="C117" s="56" t="s">
        <v>35</v>
      </c>
      <c r="D117" s="56"/>
      <c r="E117" s="56"/>
      <c r="F117" s="17">
        <f>SUM(F113:F116)</f>
        <v>10633.25</v>
      </c>
    </row>
    <row r="118" spans="2:6" x14ac:dyDescent="0.25">
      <c r="B118" s="57"/>
      <c r="C118" s="58" t="str">
        <f t="shared" si="2"/>
        <v>Banco do Brasil S/A - Agência 351-4 C/C 40.807-7 (Diária)</v>
      </c>
      <c r="D118" s="58"/>
      <c r="E118" s="58"/>
      <c r="F118" s="14">
        <v>0</v>
      </c>
    </row>
    <row r="119" spans="2:6" x14ac:dyDescent="0.25">
      <c r="B119" s="57"/>
      <c r="C119" s="58" t="str">
        <f t="shared" si="2"/>
        <v>Banco do Brasil S/A - Agência 351-4 C/C 40.808-5 (Captação)</v>
      </c>
      <c r="D119" s="58"/>
      <c r="E119" s="58"/>
      <c r="F119" s="14">
        <v>0</v>
      </c>
    </row>
    <row r="120" spans="2:6" x14ac:dyDescent="0.25">
      <c r="B120" s="57"/>
      <c r="C120" s="58" t="str">
        <f t="shared" si="2"/>
        <v>Banco do Brasil S/A - Agência 351-4 C/C 40.809-3 (Fdo Contingência)</v>
      </c>
      <c r="D120" s="58"/>
      <c r="E120" s="58"/>
      <c r="F120" s="14">
        <v>0</v>
      </c>
    </row>
    <row r="121" spans="2:6" x14ac:dyDescent="0.25">
      <c r="B121" s="57"/>
      <c r="C121" s="58" t="str">
        <f t="shared" si="2"/>
        <v>Banco do Brasil S/A - Agência 351-4 C/C 40.810-7 (Fdo Reserva)</v>
      </c>
      <c r="D121" s="58"/>
      <c r="E121" s="58"/>
      <c r="F121" s="14">
        <v>0</v>
      </c>
    </row>
    <row r="122" spans="2:6" x14ac:dyDescent="0.25">
      <c r="B122" s="57"/>
      <c r="C122" s="58" t="str">
        <f t="shared" si="2"/>
        <v>Banco do Brasil S/A - Agência 351-4 C/C 40.811-5 (Loja)</v>
      </c>
      <c r="D122" s="58"/>
      <c r="E122" s="58"/>
      <c r="F122" s="14">
        <v>0</v>
      </c>
    </row>
    <row r="123" spans="2:6" ht="15.75" thickBot="1" x14ac:dyDescent="0.3">
      <c r="B123" s="57"/>
      <c r="C123" s="58" t="str">
        <f t="shared" si="2"/>
        <v>CEF - Agência 2105-9 C/C 003.1346-4 (Bilheteria)</v>
      </c>
      <c r="D123" s="58"/>
      <c r="E123" s="58"/>
      <c r="F123" s="15">
        <v>6204.14</v>
      </c>
    </row>
    <row r="124" spans="2:6" s="10" customFormat="1" ht="15.75" thickTop="1" x14ac:dyDescent="0.25">
      <c r="B124" s="53">
        <f>B117</f>
        <v>44561</v>
      </c>
      <c r="C124" s="56" t="s">
        <v>42</v>
      </c>
      <c r="D124" s="56"/>
      <c r="E124" s="56"/>
      <c r="F124" s="17">
        <f>SUM(F118:F123)</f>
        <v>6204.14</v>
      </c>
    </row>
    <row r="125" spans="2:6" x14ac:dyDescent="0.25">
      <c r="B125" s="57"/>
      <c r="C125" s="58" t="str">
        <f t="shared" si="2"/>
        <v>Banco do Brasil S/A - Agência 351-4 C/Aplic 40.807-7 (Diária)</v>
      </c>
      <c r="D125" s="58"/>
      <c r="E125" s="58"/>
      <c r="F125" s="14">
        <v>10672497.57</v>
      </c>
    </row>
    <row r="126" spans="2:6" x14ac:dyDescent="0.25">
      <c r="B126" s="57"/>
      <c r="C126" s="58" t="str">
        <f t="shared" si="2"/>
        <v>Banco do Brasil S/A - Agência 351-4 C/Aplic 40.808-5 (Captação)</v>
      </c>
      <c r="D126" s="58"/>
      <c r="E126" s="58"/>
      <c r="F126" s="14">
        <v>159291.56</v>
      </c>
    </row>
    <row r="127" spans="2:6" x14ac:dyDescent="0.25">
      <c r="B127" s="57"/>
      <c r="C127" s="58" t="str">
        <f t="shared" si="2"/>
        <v>Banco do Brasil S/A - Agência 351-4 C/Aplic 40.809-3 (Fdo Contingência)</v>
      </c>
      <c r="D127" s="58"/>
      <c r="E127" s="58"/>
      <c r="F127" s="14">
        <v>797563.17</v>
      </c>
    </row>
    <row r="128" spans="2:6" x14ac:dyDescent="0.25">
      <c r="B128" s="57"/>
      <c r="C128" s="58" t="str">
        <f t="shared" si="2"/>
        <v>Banco do Brasil S/A - Agência 351-4 C/Aplic 40.810-7 (Fdo Reserva)</v>
      </c>
      <c r="D128" s="58"/>
      <c r="E128" s="58"/>
      <c r="F128" s="14">
        <v>937798.37</v>
      </c>
    </row>
    <row r="129" spans="2:7" x14ac:dyDescent="0.25">
      <c r="B129" s="57"/>
      <c r="C129" s="58" t="str">
        <f t="shared" si="2"/>
        <v>Banco do Brasil S/A - Agência 351-4 C/Aplic 40.811-5 (Loja)</v>
      </c>
      <c r="D129" s="58"/>
      <c r="E129" s="58"/>
      <c r="F129" s="14">
        <v>18901.849999999999</v>
      </c>
    </row>
    <row r="130" spans="2:7" ht="15.75" thickBot="1" x14ac:dyDescent="0.3">
      <c r="B130" s="57"/>
      <c r="C130" s="58" t="str">
        <f t="shared" si="2"/>
        <v>CEF - Agência 2105-9 C/Aplic 003.1346-4 (Bilheteria)</v>
      </c>
      <c r="D130" s="58"/>
      <c r="E130" s="58"/>
      <c r="F130" s="15">
        <v>97959.33</v>
      </c>
    </row>
    <row r="131" spans="2:7" s="10" customFormat="1" ht="15.75" thickTop="1" x14ac:dyDescent="0.25">
      <c r="B131" s="53">
        <f>B124</f>
        <v>44561</v>
      </c>
      <c r="C131" s="56" t="s">
        <v>49</v>
      </c>
      <c r="D131" s="56"/>
      <c r="E131" s="56"/>
      <c r="F131" s="17">
        <f>SUM(F125:F130)</f>
        <v>12684011.85</v>
      </c>
    </row>
    <row r="132" spans="2:7" ht="5.0999999999999996" customHeight="1" thickBot="1" x14ac:dyDescent="0.3">
      <c r="G132" s="18"/>
    </row>
    <row r="133" spans="2:7" s="10" customFormat="1" ht="15.75" thickTop="1" x14ac:dyDescent="0.25">
      <c r="B133" s="53">
        <f>B131</f>
        <v>44561</v>
      </c>
      <c r="C133" s="59" t="s">
        <v>50</v>
      </c>
      <c r="D133" s="59"/>
      <c r="E133" s="59"/>
      <c r="F133" s="59"/>
      <c r="G133" s="17">
        <f>F117+F124+F131</f>
        <v>12700849.24</v>
      </c>
    </row>
    <row r="134" spans="2:7" ht="15.75" thickBot="1" x14ac:dyDescent="0.3">
      <c r="B134" s="19"/>
      <c r="C134" s="58" t="s">
        <v>51</v>
      </c>
      <c r="D134" s="58"/>
      <c r="E134" s="58"/>
      <c r="F134" s="15">
        <v>0</v>
      </c>
    </row>
    <row r="135" spans="2:7" s="10" customFormat="1" ht="15.75" thickTop="1" x14ac:dyDescent="0.25">
      <c r="B135" s="53">
        <f>B133</f>
        <v>44561</v>
      </c>
      <c r="C135" s="56" t="s">
        <v>52</v>
      </c>
      <c r="D135" s="56"/>
      <c r="E135" s="56"/>
      <c r="F135" s="17">
        <f>F134</f>
        <v>0</v>
      </c>
    </row>
    <row r="136" spans="2:7" ht="5.0999999999999996" customHeight="1" thickBot="1" x14ac:dyDescent="0.3">
      <c r="B136" s="19"/>
      <c r="G136" s="18"/>
    </row>
    <row r="137" spans="2:7" s="26" customFormat="1" ht="15.75" thickTop="1" x14ac:dyDescent="0.25">
      <c r="B137" s="54">
        <f>B135</f>
        <v>44561</v>
      </c>
      <c r="C137" s="60" t="s">
        <v>70</v>
      </c>
      <c r="D137" s="60"/>
      <c r="E137" s="60"/>
      <c r="F137" s="60"/>
      <c r="G137" s="25">
        <f>G133+F135</f>
        <v>12700849.24</v>
      </c>
    </row>
    <row r="138" spans="2:7" x14ac:dyDescent="0.25">
      <c r="E138" s="27"/>
      <c r="F138" s="27"/>
      <c r="G138" s="28"/>
    </row>
  </sheetData>
  <mergeCells count="100">
    <mergeCell ref="B6:G6"/>
    <mergeCell ref="B7:G7"/>
    <mergeCell ref="B10:G10"/>
    <mergeCell ref="B12:B14"/>
    <mergeCell ref="C12:C14"/>
    <mergeCell ref="D12:D14"/>
    <mergeCell ref="E12:F12"/>
    <mergeCell ref="G12:G14"/>
    <mergeCell ref="E13:E14"/>
    <mergeCell ref="F13:F14"/>
    <mergeCell ref="B35:B37"/>
    <mergeCell ref="C35:C37"/>
    <mergeCell ref="D35:D37"/>
    <mergeCell ref="E35:F35"/>
    <mergeCell ref="G35:G37"/>
    <mergeCell ref="E36:E37"/>
    <mergeCell ref="F36:F37"/>
    <mergeCell ref="B29:G29"/>
    <mergeCell ref="B30:G30"/>
    <mergeCell ref="B31:G31"/>
    <mergeCell ref="B32:G32"/>
    <mergeCell ref="B33:G33"/>
    <mergeCell ref="C61:E61"/>
    <mergeCell ref="B62:B67"/>
    <mergeCell ref="C62:E62"/>
    <mergeCell ref="C63:E63"/>
    <mergeCell ref="C64:E64"/>
    <mergeCell ref="C65:E65"/>
    <mergeCell ref="C66:E66"/>
    <mergeCell ref="C67:E67"/>
    <mergeCell ref="B52:G52"/>
    <mergeCell ref="B53:G53"/>
    <mergeCell ref="B54:G54"/>
    <mergeCell ref="C56:F56"/>
    <mergeCell ref="B57:B60"/>
    <mergeCell ref="C57:E57"/>
    <mergeCell ref="C58:E58"/>
    <mergeCell ref="C59:E59"/>
    <mergeCell ref="C60:E60"/>
    <mergeCell ref="B89:G89"/>
    <mergeCell ref="C68:E68"/>
    <mergeCell ref="B69:B74"/>
    <mergeCell ref="C69:E69"/>
    <mergeCell ref="C70:E70"/>
    <mergeCell ref="C71:E71"/>
    <mergeCell ref="C72:E72"/>
    <mergeCell ref="C73:E73"/>
    <mergeCell ref="C74:E74"/>
    <mergeCell ref="C75:E75"/>
    <mergeCell ref="C77:F77"/>
    <mergeCell ref="C78:E78"/>
    <mergeCell ref="C79:E79"/>
    <mergeCell ref="C81:F81"/>
    <mergeCell ref="C101:E101"/>
    <mergeCell ref="B103:B107"/>
    <mergeCell ref="C103:F103"/>
    <mergeCell ref="C104:E104"/>
    <mergeCell ref="C105:E105"/>
    <mergeCell ref="C106:E106"/>
    <mergeCell ref="C107:E107"/>
    <mergeCell ref="B90:G90"/>
    <mergeCell ref="C93:E93"/>
    <mergeCell ref="B95:B100"/>
    <mergeCell ref="C95:F95"/>
    <mergeCell ref="C96:E96"/>
    <mergeCell ref="C97:E97"/>
    <mergeCell ref="C98:E98"/>
    <mergeCell ref="C99:E99"/>
    <mergeCell ref="C100:E100"/>
    <mergeCell ref="C117:E117"/>
    <mergeCell ref="B118:B123"/>
    <mergeCell ref="C118:E118"/>
    <mergeCell ref="C119:E119"/>
    <mergeCell ref="C120:E120"/>
    <mergeCell ref="C121:E121"/>
    <mergeCell ref="C122:E122"/>
    <mergeCell ref="C123:E123"/>
    <mergeCell ref="C108:F108"/>
    <mergeCell ref="C109:E109"/>
    <mergeCell ref="C110:F110"/>
    <mergeCell ref="B111:G111"/>
    <mergeCell ref="C112:F112"/>
    <mergeCell ref="B113:B116"/>
    <mergeCell ref="C113:E113"/>
    <mergeCell ref="C114:E114"/>
    <mergeCell ref="C115:E115"/>
    <mergeCell ref="C116:E116"/>
    <mergeCell ref="C131:E131"/>
    <mergeCell ref="C133:F133"/>
    <mergeCell ref="C134:E134"/>
    <mergeCell ref="C135:E135"/>
    <mergeCell ref="C137:F137"/>
    <mergeCell ref="C124:E124"/>
    <mergeCell ref="B125:B130"/>
    <mergeCell ref="C125:E125"/>
    <mergeCell ref="C126:E126"/>
    <mergeCell ref="C127:E127"/>
    <mergeCell ref="C128:E128"/>
    <mergeCell ref="C129:E129"/>
    <mergeCell ref="C130:E130"/>
  </mergeCells>
  <pageMargins left="0.51181102362204722" right="0.15748031496062992" top="0.23622047244094491" bottom="0.23622047244094491" header="0.19685039370078741" footer="0.15748031496062992"/>
  <pageSetup paperSize="9" scale="69" orientation="portrait" r:id="rId1"/>
  <rowBreaks count="1" manualBreakCount="1">
    <brk id="8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54"/>
  <sheetViews>
    <sheetView showGridLines="0" zoomScaleNormal="100" workbookViewId="0">
      <selection activeCell="E10" sqref="E10:G10"/>
    </sheetView>
  </sheetViews>
  <sheetFormatPr defaultRowHeight="15" x14ac:dyDescent="0.25"/>
  <cols>
    <col min="1" max="1" width="1.7109375" customWidth="1"/>
    <col min="12" max="12" width="4.42578125" customWidth="1"/>
    <col min="13" max="13" width="16.85546875" style="29" bestFit="1" customWidth="1"/>
  </cols>
  <sheetData>
    <row r="6" spans="2:15" x14ac:dyDescent="0.25">
      <c r="N6" s="74" t="s">
        <v>98</v>
      </c>
      <c r="O6" s="74"/>
    </row>
    <row r="7" spans="2:15" ht="15.75" x14ac:dyDescent="0.25">
      <c r="B7" s="80" t="str">
        <f>'CONCILIAÇÃO FINANCEIRA'!B6:G6</f>
        <v>Associação Cultural de Apoio ao Museu Casa de Portinari - Organização Social de Cultura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41"/>
    </row>
    <row r="8" spans="2:15" x14ac:dyDescent="0.2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41"/>
    </row>
    <row r="9" spans="2:15" x14ac:dyDescent="0.25">
      <c r="B9" s="75" t="s">
        <v>95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2:15" x14ac:dyDescent="0.25">
      <c r="B10" s="81" t="s">
        <v>97</v>
      </c>
      <c r="C10" s="81"/>
      <c r="D10" s="81"/>
      <c r="E10" s="82">
        <f>'CONCILIAÇÃO FINANCEIRA'!D8</f>
        <v>44561</v>
      </c>
      <c r="F10" s="83"/>
      <c r="G10" s="83"/>
      <c r="H10" s="41"/>
      <c r="I10" s="41"/>
      <c r="J10" s="41"/>
      <c r="K10" s="41"/>
      <c r="L10" s="41"/>
      <c r="M10" s="42"/>
      <c r="N10" s="41"/>
    </row>
    <row r="11" spans="2:15" ht="18.75" x14ac:dyDescent="0.3">
      <c r="B11" s="78" t="str">
        <f>'CONCILIAÇÃO FINANCEIRA'!$B$29</f>
        <v>(1) Repasses Públicos do Governo do Estado de São Paulo - Secretaria de Cultura e Economia Criativa</v>
      </c>
      <c r="C11" s="78"/>
      <c r="D11" s="78"/>
      <c r="E11" s="78"/>
      <c r="F11" s="78"/>
      <c r="G11" s="78"/>
      <c r="H11" s="78"/>
      <c r="I11" s="78"/>
      <c r="J11" s="78"/>
      <c r="K11" s="78"/>
      <c r="L11" s="47">
        <v>1</v>
      </c>
      <c r="M11" s="42">
        <f>'CONCILIAÇÃO FINANCEIRA'!F96</f>
        <v>15577947</v>
      </c>
      <c r="N11" s="43">
        <f>M11/$M$14</f>
        <v>0.97543545791398234</v>
      </c>
    </row>
    <row r="12" spans="2:15" ht="18.75" x14ac:dyDescent="0.3">
      <c r="B12" s="78" t="str">
        <f>'CONCILIAÇÃO FINANCEIRA'!$B$30</f>
        <v>(2) Receitas com Bilheteria, Loja, Cessão Onerosa Espaço, Programa de Parceiros/Sócios e Doações</v>
      </c>
      <c r="C12" s="78"/>
      <c r="D12" s="78"/>
      <c r="E12" s="78"/>
      <c r="F12" s="78"/>
      <c r="G12" s="78"/>
      <c r="H12" s="78"/>
      <c r="I12" s="78"/>
      <c r="J12" s="78"/>
      <c r="K12" s="78"/>
      <c r="L12" s="47">
        <v>2</v>
      </c>
      <c r="M12" s="42">
        <f>'CONCILIAÇÃO FINANCEIRA'!F97</f>
        <v>335447.40000000002</v>
      </c>
      <c r="N12" s="43">
        <f>M12/$M$14</f>
        <v>2.1004519287750486E-2</v>
      </c>
    </row>
    <row r="13" spans="2:15" ht="18.75" x14ac:dyDescent="0.3">
      <c r="B13" s="78" t="str">
        <f>'CONCILIAÇÃO FINANCEIRA'!$B$31</f>
        <v>(3) Rendimentos Financeiros Bruto de Recursos Públicos e Captados mantidos em Contas Aplicações</v>
      </c>
      <c r="C13" s="78"/>
      <c r="D13" s="78"/>
      <c r="E13" s="78"/>
      <c r="F13" s="78"/>
      <c r="G13" s="78"/>
      <c r="H13" s="78"/>
      <c r="I13" s="78"/>
      <c r="J13" s="78"/>
      <c r="K13" s="78"/>
      <c r="L13" s="47">
        <v>3</v>
      </c>
      <c r="M13" s="42">
        <f>'CONCILIAÇÃO FINANCEIRA'!F98</f>
        <v>56854.44999999999</v>
      </c>
      <c r="N13" s="43">
        <f>M13/$M$14</f>
        <v>3.5600227982671663E-3</v>
      </c>
    </row>
    <row r="14" spans="2:15" s="35" customFormat="1" x14ac:dyDescent="0.25">
      <c r="B14" s="79" t="s">
        <v>71</v>
      </c>
      <c r="C14" s="79"/>
      <c r="D14" s="79"/>
      <c r="E14" s="79"/>
      <c r="F14" s="79"/>
      <c r="G14" s="79"/>
      <c r="H14" s="79"/>
      <c r="I14" s="79"/>
      <c r="J14" s="79"/>
      <c r="K14" s="79"/>
      <c r="L14" s="48"/>
      <c r="M14" s="46">
        <f>SUM(M11:M13)</f>
        <v>15970248.85</v>
      </c>
      <c r="N14" s="45">
        <f>SUM(N11:N13)</f>
        <v>1</v>
      </c>
    </row>
    <row r="34" spans="2:15" x14ac:dyDescent="0.25">
      <c r="B34" s="75" t="s">
        <v>72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2:15" x14ac:dyDescent="0.25">
      <c r="B35" s="76" t="str">
        <f>$B$10</f>
        <v>Data Base:</v>
      </c>
      <c r="C35" s="76"/>
      <c r="D35" s="76"/>
    </row>
    <row r="37" spans="2:15" s="35" customFormat="1" x14ac:dyDescent="0.25">
      <c r="B37" s="77" t="s">
        <v>75</v>
      </c>
      <c r="C37" s="77"/>
      <c r="D37" s="77"/>
      <c r="E37" s="77"/>
      <c r="F37" s="77"/>
      <c r="G37" s="77"/>
      <c r="H37" s="77"/>
      <c r="I37" s="77"/>
      <c r="J37" s="77"/>
      <c r="K37" s="77"/>
      <c r="M37" s="39" t="s">
        <v>80</v>
      </c>
      <c r="O37" s="44"/>
    </row>
    <row r="38" spans="2:15" x14ac:dyDescent="0.25">
      <c r="B38" s="84" t="s">
        <v>76</v>
      </c>
      <c r="C38" s="84"/>
      <c r="D38" s="84"/>
      <c r="E38" s="84"/>
      <c r="F38" s="84"/>
      <c r="G38" s="84"/>
      <c r="H38" s="84"/>
      <c r="I38" s="84"/>
      <c r="J38" s="84"/>
      <c r="K38" s="84"/>
      <c r="M38" s="29">
        <f>'CONCILIAÇÃO FINANCEIRA'!F100</f>
        <v>1620530.65</v>
      </c>
      <c r="N38" s="31"/>
      <c r="O38" s="43"/>
    </row>
    <row r="39" spans="2:15" ht="15.75" thickBot="1" x14ac:dyDescent="0.3">
      <c r="B39" s="84" t="s">
        <v>77</v>
      </c>
      <c r="C39" s="84"/>
      <c r="D39" s="84"/>
      <c r="E39" s="84"/>
      <c r="F39" s="84"/>
      <c r="G39" s="84"/>
      <c r="H39" s="84"/>
      <c r="I39" s="84"/>
      <c r="J39" s="84"/>
      <c r="K39" s="84"/>
      <c r="M39" s="30">
        <f>M11</f>
        <v>15577947</v>
      </c>
      <c r="N39" s="31"/>
      <c r="O39" s="43"/>
    </row>
    <row r="40" spans="2:15" s="35" customFormat="1" ht="15.75" thickTop="1" x14ac:dyDescent="0.25">
      <c r="B40" s="77" t="s">
        <v>78</v>
      </c>
      <c r="C40" s="77"/>
      <c r="D40" s="77"/>
      <c r="E40" s="77"/>
      <c r="F40" s="77"/>
      <c r="G40" s="77"/>
      <c r="H40" s="77"/>
      <c r="I40" s="77"/>
      <c r="J40" s="77"/>
      <c r="K40" s="77"/>
      <c r="M40" s="33">
        <f>SUM(M38:M39)</f>
        <v>17198477.649999999</v>
      </c>
      <c r="N40" s="34"/>
      <c r="O40" s="45"/>
    </row>
    <row r="41" spans="2:15" x14ac:dyDescent="0.25">
      <c r="B41" s="84" t="s">
        <v>73</v>
      </c>
      <c r="C41" s="84"/>
      <c r="D41" s="84"/>
      <c r="E41" s="84"/>
      <c r="F41" s="84"/>
      <c r="G41" s="84"/>
      <c r="H41" s="84"/>
      <c r="I41" s="84"/>
      <c r="J41" s="84"/>
      <c r="K41" s="84"/>
      <c r="M41" s="29">
        <f>55779.42+55779.42+55779.42+55779.42+55779.42+55777.32+600000</f>
        <v>934674.41999999993</v>
      </c>
      <c r="N41" s="31"/>
      <c r="O41" s="43"/>
    </row>
    <row r="42" spans="2:15" x14ac:dyDescent="0.25">
      <c r="B42" s="84" t="s">
        <v>74</v>
      </c>
      <c r="C42" s="84"/>
      <c r="D42" s="84"/>
      <c r="E42" s="84"/>
      <c r="F42" s="84"/>
      <c r="G42" s="84"/>
      <c r="H42" s="84"/>
      <c r="I42" s="84"/>
      <c r="J42" s="84"/>
      <c r="K42" s="84"/>
      <c r="M42" s="42">
        <f>626456.52+(9296.57+9296.57+9296.57+9296.57+9296.57)+9296.22+100000</f>
        <v>782235.59</v>
      </c>
      <c r="O42" s="43"/>
    </row>
    <row r="43" spans="2:15" ht="15.75" thickBot="1" x14ac:dyDescent="0.3">
      <c r="B43" s="84" t="s">
        <v>96</v>
      </c>
      <c r="C43" s="84"/>
      <c r="D43" s="84"/>
      <c r="E43" s="84"/>
      <c r="F43" s="84"/>
      <c r="G43" s="84"/>
      <c r="H43" s="84"/>
      <c r="I43" s="84"/>
      <c r="J43" s="84"/>
      <c r="K43" s="84"/>
      <c r="M43" s="30">
        <f>60+(60+0.02)+0.04+(60+0.08)+(2627.69+456.06+60)+(60+451.79+85.18)</f>
        <v>3920.8599999999997</v>
      </c>
      <c r="O43" s="43"/>
    </row>
    <row r="44" spans="2:15" s="35" customFormat="1" ht="16.5" thickTop="1" thickBot="1" x14ac:dyDescent="0.3">
      <c r="B44" s="77" t="s">
        <v>79</v>
      </c>
      <c r="C44" s="77"/>
      <c r="D44" s="77"/>
      <c r="E44" s="77"/>
      <c r="F44" s="77"/>
      <c r="G44" s="77"/>
      <c r="H44" s="77"/>
      <c r="I44" s="77"/>
      <c r="J44" s="77"/>
      <c r="K44" s="77"/>
      <c r="M44" s="38">
        <f>SUM(M41:M42)-M43</f>
        <v>1712989.1499999997</v>
      </c>
      <c r="N44" s="34"/>
      <c r="O44" s="45"/>
    </row>
    <row r="45" spans="2:15" s="35" customFormat="1" ht="15.75" thickTop="1" x14ac:dyDescent="0.25">
      <c r="B45" s="84" t="s">
        <v>81</v>
      </c>
      <c r="C45" s="84"/>
      <c r="D45" s="84"/>
      <c r="E45" s="84"/>
      <c r="F45" s="84"/>
      <c r="G45" s="84"/>
      <c r="H45" s="84"/>
      <c r="I45" s="84"/>
      <c r="J45" s="84"/>
      <c r="K45" s="84"/>
      <c r="M45" s="40">
        <f>M12</f>
        <v>335447.40000000002</v>
      </c>
      <c r="O45" s="45"/>
    </row>
    <row r="46" spans="2:15" s="35" customFormat="1" x14ac:dyDescent="0.25">
      <c r="B46" s="84" t="s">
        <v>82</v>
      </c>
      <c r="C46" s="84"/>
      <c r="D46" s="84"/>
      <c r="E46" s="84"/>
      <c r="F46" s="84"/>
      <c r="G46" s="84"/>
      <c r="H46" s="84"/>
      <c r="I46" s="84"/>
      <c r="J46" s="84"/>
      <c r="K46" s="84"/>
      <c r="M46" s="40">
        <f>M13</f>
        <v>56854.44999999999</v>
      </c>
      <c r="O46" s="45"/>
    </row>
    <row r="47" spans="2:15" s="35" customFormat="1" ht="15.75" thickBot="1" x14ac:dyDescent="0.3">
      <c r="B47" s="84" t="s">
        <v>83</v>
      </c>
      <c r="C47" s="84"/>
      <c r="D47" s="84"/>
      <c r="E47" s="84"/>
      <c r="F47" s="84"/>
      <c r="G47" s="84"/>
      <c r="H47" s="84"/>
      <c r="I47" s="84"/>
      <c r="J47" s="84"/>
      <c r="K47" s="84"/>
      <c r="M47" s="40">
        <f>(1825.89+29.61)+(2349.82+192.69)+(2508.63+381.47)+(2854.08+627.06)+(3600.01+1112.67)+(4816.84+1777.28+296.34)</f>
        <v>22372.39</v>
      </c>
      <c r="O47" s="45"/>
    </row>
    <row r="48" spans="2:15" s="35" customFormat="1" ht="16.5" thickTop="1" thickBot="1" x14ac:dyDescent="0.3">
      <c r="B48" s="77" t="s">
        <v>84</v>
      </c>
      <c r="C48" s="77"/>
      <c r="D48" s="77"/>
      <c r="E48" s="77"/>
      <c r="F48" s="77"/>
      <c r="G48" s="77"/>
      <c r="H48" s="77"/>
      <c r="I48" s="77"/>
      <c r="J48" s="77"/>
      <c r="K48" s="77"/>
      <c r="M48" s="38">
        <f>SUM(M45:M46)-M47</f>
        <v>369929.46</v>
      </c>
      <c r="N48" s="34"/>
      <c r="O48" s="45"/>
    </row>
    <row r="49" spans="2:15" s="35" customFormat="1" ht="16.5" thickTop="1" thickBot="1" x14ac:dyDescent="0.3">
      <c r="B49" s="37"/>
      <c r="C49" s="37"/>
      <c r="D49" s="37"/>
      <c r="E49" s="37"/>
      <c r="F49" s="37"/>
      <c r="G49" s="37"/>
      <c r="H49" s="37"/>
      <c r="I49" s="37"/>
      <c r="J49" s="37"/>
      <c r="K49" s="37"/>
      <c r="M49" s="38"/>
      <c r="N49" s="34"/>
      <c r="O49" s="45"/>
    </row>
    <row r="50" spans="2:15" s="35" customFormat="1" ht="15.75" thickTop="1" x14ac:dyDescent="0.25">
      <c r="B50" s="77" t="s">
        <v>85</v>
      </c>
      <c r="C50" s="77"/>
      <c r="D50" s="77"/>
      <c r="E50" s="77"/>
      <c r="F50" s="77"/>
      <c r="G50" s="77"/>
      <c r="H50" s="77"/>
      <c r="I50" s="77"/>
      <c r="J50" s="77"/>
      <c r="K50" s="77"/>
      <c r="M50" s="33">
        <f>M40-M44+M48</f>
        <v>15855417.959999999</v>
      </c>
      <c r="N50" s="34"/>
      <c r="O50" s="45"/>
    </row>
    <row r="51" spans="2:15" x14ac:dyDescent="0.25">
      <c r="O51" s="41"/>
    </row>
    <row r="52" spans="2:15" ht="18.75" x14ac:dyDescent="0.3">
      <c r="B52" s="84" t="s">
        <v>87</v>
      </c>
      <c r="C52" s="84"/>
      <c r="D52" s="84"/>
      <c r="E52" s="84"/>
      <c r="F52" s="84"/>
      <c r="G52" s="84"/>
      <c r="H52" s="84"/>
      <c r="I52" s="84"/>
      <c r="J52" s="84"/>
      <c r="K52" s="84"/>
      <c r="L52" s="36">
        <v>1</v>
      </c>
      <c r="M52" s="29">
        <f>M50</f>
        <v>15855417.959999999</v>
      </c>
      <c r="N52" s="31">
        <v>1</v>
      </c>
      <c r="O52" s="41"/>
    </row>
    <row r="53" spans="2:15" ht="19.5" thickBot="1" x14ac:dyDescent="0.35">
      <c r="B53" s="84" t="s">
        <v>86</v>
      </c>
      <c r="C53" s="84"/>
      <c r="D53" s="84"/>
      <c r="E53" s="84"/>
      <c r="F53" s="84"/>
      <c r="G53" s="84"/>
      <c r="H53" s="84"/>
      <c r="I53" s="84"/>
      <c r="J53" s="84"/>
      <c r="K53" s="84"/>
      <c r="L53" s="36">
        <v>2</v>
      </c>
      <c r="M53" s="30">
        <f>'CONCILIAÇÃO FINANCEIRA'!G50</f>
        <v>4889930.26</v>
      </c>
      <c r="N53" s="32">
        <f>M53/$M$52</f>
        <v>0.30840752809773297</v>
      </c>
      <c r="O53" s="41"/>
    </row>
    <row r="54" spans="2:15" s="35" customFormat="1" ht="15.75" thickTop="1" x14ac:dyDescent="0.25">
      <c r="B54" s="77" t="s">
        <v>88</v>
      </c>
      <c r="C54" s="77"/>
      <c r="D54" s="77"/>
      <c r="E54" s="77"/>
      <c r="F54" s="77"/>
      <c r="G54" s="77"/>
      <c r="H54" s="77"/>
      <c r="I54" s="77"/>
      <c r="J54" s="77"/>
      <c r="K54" s="77"/>
      <c r="M54" s="33">
        <f>M52-M53</f>
        <v>10965487.699999999</v>
      </c>
      <c r="N54" s="34">
        <f>N52-N53</f>
        <v>0.69159247190226703</v>
      </c>
    </row>
  </sheetData>
  <mergeCells count="27">
    <mergeCell ref="B53:K53"/>
    <mergeCell ref="B54:K54"/>
    <mergeCell ref="B47:K47"/>
    <mergeCell ref="B46:K46"/>
    <mergeCell ref="B48:K48"/>
    <mergeCell ref="B50:K50"/>
    <mergeCell ref="B52:K52"/>
    <mergeCell ref="B41:K41"/>
    <mergeCell ref="B45:K45"/>
    <mergeCell ref="B42:K42"/>
    <mergeCell ref="B38:K38"/>
    <mergeCell ref="B39:K39"/>
    <mergeCell ref="B40:K40"/>
    <mergeCell ref="B44:K44"/>
    <mergeCell ref="B43:K43"/>
    <mergeCell ref="N6:O6"/>
    <mergeCell ref="B34:N34"/>
    <mergeCell ref="B35:D35"/>
    <mergeCell ref="B37:K37"/>
    <mergeCell ref="B11:K11"/>
    <mergeCell ref="B12:K12"/>
    <mergeCell ref="B13:K13"/>
    <mergeCell ref="B14:K14"/>
    <mergeCell ref="B9:N9"/>
    <mergeCell ref="B7:M7"/>
    <mergeCell ref="B10:D10"/>
    <mergeCell ref="E10:G10"/>
  </mergeCells>
  <pageMargins left="0.43307086614173229" right="0.15748031496062992" top="0.19685039370078741" bottom="0.23622047244094491" header="0.19685039370078741" footer="0.15748031496062992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CONCILIAÇÃO FINANCEIRA</vt:lpstr>
      <vt:lpstr>GRÁFICOS</vt:lpstr>
      <vt:lpstr>'CONCILIAÇÃO FINANCEIRA'!Area_de_impressao</vt:lpstr>
      <vt:lpstr>GRÁFICOS!Area_de_impressao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Reginaldo Adami Janoni</dc:creator>
  <cp:lastModifiedBy>Reginaldo Adami Janoni</cp:lastModifiedBy>
  <cp:lastPrinted>2022-01-21T20:17:05Z</cp:lastPrinted>
  <dcterms:created xsi:type="dcterms:W3CDTF">2020-02-25T12:38:30Z</dcterms:created>
  <dcterms:modified xsi:type="dcterms:W3CDTF">2022-01-21T20:17:21Z</dcterms:modified>
</cp:coreProperties>
</file>