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JUNHO" sheetId="3" r:id="rId1"/>
  </sheets>
  <definedNames>
    <definedName name="_xlnm.Print_Area" localSheetId="0">JUNHO!$A$1:$K$99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4" i="3" l="1"/>
  <c r="J90" i="3" l="1"/>
  <c r="I90" i="3"/>
  <c r="J89" i="3"/>
  <c r="J86" i="3"/>
  <c r="I84" i="3"/>
  <c r="J81" i="3"/>
  <c r="I81" i="3"/>
  <c r="J78" i="3"/>
  <c r="I78" i="3"/>
  <c r="J74" i="3"/>
  <c r="J68" i="3"/>
  <c r="I68" i="3"/>
  <c r="J64" i="3"/>
  <c r="I64" i="3"/>
  <c r="J61" i="3"/>
  <c r="J58" i="3"/>
  <c r="J55" i="3"/>
  <c r="I55" i="3"/>
  <c r="J54" i="3"/>
  <c r="J48" i="3"/>
  <c r="J46" i="3"/>
  <c r="I46" i="3"/>
  <c r="J44" i="3"/>
  <c r="I44" i="3"/>
  <c r="J33" i="3"/>
  <c r="I33" i="3"/>
  <c r="J32" i="3"/>
  <c r="I32" i="3"/>
  <c r="J31" i="3"/>
  <c r="I31" i="3"/>
  <c r="J28" i="3"/>
  <c r="J25" i="3"/>
  <c r="I25" i="3"/>
  <c r="J24" i="3"/>
  <c r="J23" i="3"/>
  <c r="I23" i="3"/>
  <c r="J21" i="3"/>
  <c r="J16" i="3"/>
  <c r="I16" i="3"/>
  <c r="J15" i="3"/>
  <c r="I15" i="3"/>
  <c r="J85" i="3"/>
  <c r="J83" i="3"/>
  <c r="I83" i="3"/>
  <c r="J82" i="3"/>
  <c r="I82" i="3"/>
  <c r="J80" i="3"/>
  <c r="I80" i="3"/>
  <c r="J79" i="3"/>
  <c r="I79" i="3"/>
  <c r="J72" i="3"/>
  <c r="I72" i="3"/>
  <c r="J63" i="3"/>
  <c r="I63" i="3"/>
  <c r="J62" i="3"/>
  <c r="I62" i="3"/>
  <c r="J51" i="3"/>
  <c r="I51" i="3"/>
  <c r="J45" i="3"/>
  <c r="J41" i="3"/>
  <c r="I41" i="3"/>
  <c r="J20" i="3"/>
  <c r="I20" i="3"/>
  <c r="J76" i="3"/>
  <c r="I76" i="3"/>
  <c r="J70" i="3"/>
  <c r="I70" i="3"/>
  <c r="J69" i="3"/>
  <c r="I69" i="3"/>
  <c r="J66" i="3"/>
  <c r="I66" i="3"/>
  <c r="J52" i="3"/>
  <c r="I52" i="3"/>
  <c r="J47" i="3"/>
  <c r="I47" i="3"/>
  <c r="J39" i="3"/>
  <c r="I39" i="3"/>
  <c r="I34" i="3"/>
  <c r="J34" i="3"/>
  <c r="J30" i="3"/>
  <c r="I30" i="3"/>
  <c r="J26" i="3"/>
  <c r="I26" i="3"/>
  <c r="J19" i="3"/>
  <c r="I19" i="3"/>
  <c r="J14" i="3"/>
  <c r="I14" i="3"/>
  <c r="J11" i="3"/>
  <c r="I11" i="3"/>
  <c r="J13" i="3"/>
  <c r="I13" i="3"/>
  <c r="J88" i="3"/>
  <c r="J87" i="3"/>
  <c r="I87" i="3"/>
  <c r="J77" i="3"/>
  <c r="I77" i="3"/>
  <c r="I53" i="3"/>
  <c r="J60" i="3"/>
  <c r="I60" i="3"/>
  <c r="J57" i="3"/>
  <c r="I57" i="3"/>
  <c r="J56" i="3"/>
  <c r="I56" i="3"/>
  <c r="J53" i="3"/>
  <c r="J42" i="3"/>
  <c r="I42" i="3"/>
  <c r="J40" i="3"/>
  <c r="J36" i="3"/>
  <c r="I36" i="3"/>
  <c r="I27" i="3"/>
  <c r="J27" i="3"/>
  <c r="J17" i="3"/>
  <c r="J10" i="3"/>
  <c r="I10" i="3"/>
  <c r="J75" i="3"/>
  <c r="J73" i="3"/>
  <c r="J71" i="3"/>
  <c r="I71" i="3"/>
  <c r="J67" i="3"/>
  <c r="I67" i="3"/>
  <c r="J65" i="3"/>
  <c r="J59" i="3"/>
  <c r="I59" i="3"/>
  <c r="J50" i="3"/>
  <c r="I50" i="3"/>
  <c r="J49" i="3"/>
  <c r="I49" i="3"/>
  <c r="J43" i="3"/>
  <c r="I43" i="3"/>
  <c r="J38" i="3"/>
  <c r="I38" i="3"/>
  <c r="J37" i="3"/>
  <c r="I37" i="3"/>
  <c r="J35" i="3"/>
  <c r="I35" i="3"/>
  <c r="J29" i="3"/>
  <c r="I29" i="3"/>
  <c r="J22" i="3"/>
  <c r="J18" i="3"/>
  <c r="I18" i="3"/>
  <c r="J12" i="3"/>
  <c r="I12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J92" i="3" l="1"/>
  <c r="H57" i="3"/>
  <c r="I92" i="3" l="1"/>
  <c r="K92" i="3" l="1"/>
</calcChain>
</file>

<file path=xl/sharedStrings.xml><?xml version="1.0" encoding="utf-8"?>
<sst xmlns="http://schemas.openxmlformats.org/spreadsheetml/2006/main" count="431" uniqueCount="165">
  <si>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</si>
  <si>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</si>
  <si>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</si>
  <si>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</si>
  <si>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</si>
  <si>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</si>
  <si>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</si>
  <si>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</si>
  <si>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</si>
  <si>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</si>
  <si>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</si>
  <si>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</si>
  <si>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</si>
  <si>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</si>
  <si>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</si>
  <si>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</si>
  <si>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</si>
  <si>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</si>
  <si>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</si>
  <si>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</si>
  <si>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</si>
  <si>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</si>
  <si>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</si>
  <si>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</si>
  <si>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</si>
  <si>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</si>
  <si>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</si>
  <si>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</si>
  <si>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</si>
  <si>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</si>
  <si>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</si>
  <si>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</si>
  <si>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</si>
  <si>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</si>
  <si>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</si>
  <si>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</si>
  <si>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</si>
  <si>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</si>
  <si>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</si>
  <si>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</si>
  <si>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</si>
  <si>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</si>
  <si>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</si>
  <si>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</si>
  <si>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</si>
  <si>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</si>
  <si>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</si>
  <si>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</si>
  <si>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</si>
  <si>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</si>
  <si>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</si>
  <si>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</si>
  <si>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</si>
  <si>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</si>
  <si>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</si>
  <si>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</si>
  <si>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</si>
  <si>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</si>
  <si>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</si>
  <si>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</si>
  <si>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</si>
  <si>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</si>
  <si>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</si>
  <si>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</si>
  <si>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</si>
  <si>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</si>
  <si>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</si>
  <si>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</si>
  <si>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</si>
  <si>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</si>
  <si>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</si>
  <si>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</si>
  <si>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</si>
  <si>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</si>
  <si>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</si>
  <si>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</si>
  <si>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</si>
  <si>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</si>
  <si>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</si>
  <si>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</si>
  <si>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</si>
  <si>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</si>
  <si>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</si>
  <si>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</si>
  <si>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</si>
  <si>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</si>
  <si>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</si>
  <si>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</si>
  <si>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</si>
  <si>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</si>
  <si>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</si>
  <si>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</si>
  <si>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</si>
  <si>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</si>
  <si>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</si>
  <si>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</si>
  <si>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</si>
  <si>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Thais Soares Nobrega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</si>
  <si>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</si>
  <si>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</si>
  <si>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</si>
  <si>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</si>
  <si>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</si>
  <si>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</si>
  <si>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</si>
  <si>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</si>
  <si>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</si>
  <si>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</si>
  <si>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</si>
  <si>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</si>
  <si>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Wagner Tserenho O Tseredzawe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</si>
  <si>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</si>
  <si>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</si>
  <si>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</si>
  <si>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</si>
  <si>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</si>
  <si>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</si>
  <si>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</si>
  <si>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</si>
  <si>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</si>
  <si>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</si>
  <si>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</si>
  <si>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</si>
  <si>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</si>
  <si>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</si>
  <si>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</si>
  <si>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</si>
  <si>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</si>
  <si>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</si>
  <si>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</si>
  <si>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</si>
  <si>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</si>
  <si>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</si>
  <si>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</si>
  <si>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</si>
  <si>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</si>
  <si>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</si>
  <si>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</si>
  <si>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</si>
  <si>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</si>
  <si>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</si>
  <si>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</si>
  <si>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</si>
  <si>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</si>
  <si>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</si>
  <si>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</si>
  <si>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</si>
  <si>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</si>
  <si>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</si>
  <si>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</si>
  <si>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</si>
  <si>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</si>
  <si>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</si>
  <si>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</si>
  <si>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</si>
  <si>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</si>
  <si>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Humberto Augusto Meratti de Oliveira</t>
  </si>
  <si>
    <t>Técnico em Desenv. Instit. TS D Nível I Grau A</t>
  </si>
  <si>
    <t>Edney dos Santos Nascimento</t>
  </si>
  <si>
    <t>Viviane Benite de Souza</t>
  </si>
  <si>
    <t>Mestre dos Saberes TS C Nível I Grau A</t>
  </si>
  <si>
    <t xml:space="preserve">30 horas semanais </t>
  </si>
  <si>
    <t>Junho</t>
  </si>
  <si>
    <t>:Quantidade de Vínculos Inicial</t>
  </si>
  <si>
    <t>:Quantidade de Vínculos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</si>
</sst>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14" fontId="0" fillId="0" borderId="1" xfId="0" applyNumberFormat="1" applyBorder="1" applyAlignment="1">
      <alignment horizontal="center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0"/>
  <sheetViews>
    <sheetView showGridLines="0" tabSelected="1" topLeftCell="B1" zoomScaleNormal="100" workbookViewId="0">
      <pane xSplit="2" ySplit="9" topLeftCell="D81" activePane="bottomRight" state="frozen"/>
      <selection activeCell="B1" sqref="B1"/>
      <selection pane="topRight" activeCell="D1" sqref="D1"/>
      <selection pane="bottomLeft" activeCell="B10" sqref="B10"/>
      <selection pane="bottomRight" activeCell="G7" sqref="G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9" t="s">
        <v>141</v>
      </c>
      <c r="E2" s="49"/>
      <c r="F2" s="49"/>
      <c r="G2" s="36"/>
      <c r="H2" s="36"/>
      <c r="I2" s="36"/>
    </row>
    <row r="3" spans="2:11" ht="15" customHeight="1" x14ac:dyDescent="0.25">
      <c r="C3" s="36"/>
      <c r="D3" s="50" t="s">
        <v>142</v>
      </c>
      <c r="E3" s="50"/>
      <c r="F3" s="50"/>
      <c r="G3" s="36"/>
      <c r="H3" s="36"/>
      <c r="I3" s="36"/>
    </row>
    <row r="4" spans="2:11" ht="15" customHeight="1" x14ac:dyDescent="0.25">
      <c r="C4" s="36"/>
      <c r="D4" s="50" t="s">
        <v>149</v>
      </c>
      <c r="E4" s="50"/>
      <c r="F4" s="50"/>
      <c r="G4" s="36"/>
      <c r="H4" s="36"/>
      <c r="I4" s="36"/>
    </row>
    <row r="5" spans="2:11" ht="15" customHeight="1" x14ac:dyDescent="0.3">
      <c r="C5" s="36"/>
      <c r="D5" s="51" t="s">
        <v>148</v>
      </c>
      <c r="E5" s="51"/>
      <c r="F5" s="51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143</v>
      </c>
      <c r="E7" s="37" t="s">
        <v>162</v>
      </c>
      <c r="F7" s="37" t="s">
        <v>144</v>
      </c>
      <c r="G7" s="36"/>
      <c r="H7" s="36"/>
      <c r="I7" s="36"/>
    </row>
    <row r="8" spans="2:11" ht="15" customHeight="1" x14ac:dyDescent="0.25">
      <c r="E8" s="3"/>
      <c r="F8"/>
      <c r="G8"/>
      <c r="I8" s="48"/>
      <c r="J8" s="48"/>
      <c r="K8" s="48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139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f>3741.41+746.76+2987.05</f>
        <v>7475.22</v>
      </c>
      <c r="J10" s="35">
        <f>75.97+856.11+499.97</f>
        <v>1432.0500000000002</v>
      </c>
      <c r="K10" s="45">
        <f>Tabela4[[#This Row],[Rem. Bruta (2)]]-Tabela4[[#This Row],[Descontos]]</f>
        <v>6043.17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f>3741.41+1.97+7.86</f>
        <v>3751.24</v>
      </c>
      <c r="J11" s="35">
        <f>58.82+343.55</f>
        <v>402.37</v>
      </c>
      <c r="K11" s="45">
        <f>Tabela4[[#This Row],[Rem. Bruta (2)]]-Tabela4[[#This Row],[Descontos]]</f>
        <v>3348.87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3741.41+0.49+1.96</f>
        <v>3743.8599999999997</v>
      </c>
      <c r="J12" s="35">
        <f>75.97+342.66</f>
        <v>418.63</v>
      </c>
      <c r="K12" s="45">
        <f>Tabela4[[#This Row],[Rem. Bruta (2)]]-Tabela4[[#This Row],[Descontos]]</f>
        <v>3325.2299999999996</v>
      </c>
    </row>
    <row r="13" spans="2:11" s="1" customFormat="1" x14ac:dyDescent="0.25">
      <c r="B13" s="29">
        <v>221</v>
      </c>
      <c r="C13" s="15" t="s">
        <v>116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3741.41+35.57+142.27</f>
        <v>3919.25</v>
      </c>
      <c r="J13" s="35">
        <f>19.23+363.71</f>
        <v>382.94</v>
      </c>
      <c r="K13" s="45">
        <f>Tabela4[[#This Row],[Rem. Bruta (2)]]-Tabela4[[#This Row],[Descontos]]</f>
        <v>3536.31</v>
      </c>
    </row>
    <row r="14" spans="2:11" ht="15" customHeight="1" x14ac:dyDescent="0.25">
      <c r="B14" s="29">
        <v>4</v>
      </c>
      <c r="C14" s="6" t="s">
        <v>16</v>
      </c>
      <c r="D14" s="6" t="s">
        <v>13</v>
      </c>
      <c r="E14" s="7" t="s">
        <v>17</v>
      </c>
      <c r="F14" s="5" t="s">
        <v>18</v>
      </c>
      <c r="G14" s="5" t="s">
        <v>12</v>
      </c>
      <c r="H14" s="20">
        <v>2786.55</v>
      </c>
      <c r="I14" s="20">
        <f>2043.47+1.75+7.35+250.73+743.08</f>
        <v>3046.38</v>
      </c>
      <c r="J14" s="35">
        <f>78.12+17.65+154.96+68.65</f>
        <v>319.38</v>
      </c>
      <c r="K14" s="45">
        <f>Tabela4[[#This Row],[Rem. Bruta (2)]]-Tabela4[[#This Row],[Descontos]]</f>
        <v>2727</v>
      </c>
    </row>
    <row r="15" spans="2:11" ht="15" customHeight="1" x14ac:dyDescent="0.25">
      <c r="B15" s="29">
        <v>166</v>
      </c>
      <c r="C15" s="6" t="s">
        <v>92</v>
      </c>
      <c r="D15" s="6" t="s">
        <v>89</v>
      </c>
      <c r="E15" s="7" t="s">
        <v>10</v>
      </c>
      <c r="F15" s="5" t="s">
        <v>69</v>
      </c>
      <c r="G15" s="5" t="s">
        <v>12</v>
      </c>
      <c r="H15" s="20">
        <v>4655.97</v>
      </c>
      <c r="I15" s="20">
        <f>4500.77+2.91+11.17+0.11+0.53+51.95+155.2</f>
        <v>4722.6399999999994</v>
      </c>
      <c r="J15" s="35">
        <f>221.52+16.16+12.93+441.66</f>
        <v>692.27</v>
      </c>
      <c r="K15" s="45">
        <f>Tabela4[[#This Row],[Rem. Bruta (2)]]-Tabela4[[#This Row],[Descontos]]</f>
        <v>4030.3699999999994</v>
      </c>
    </row>
    <row r="16" spans="2:11" ht="15" customHeight="1" x14ac:dyDescent="0.25">
      <c r="B16" s="29">
        <v>405</v>
      </c>
      <c r="C16" s="9" t="s">
        <v>130</v>
      </c>
      <c r="D16" s="9" t="s">
        <v>50</v>
      </c>
      <c r="E16" s="7" t="s">
        <v>14</v>
      </c>
      <c r="F16" s="5" t="s">
        <v>69</v>
      </c>
      <c r="G16" s="5" t="s">
        <v>12</v>
      </c>
      <c r="H16" s="20">
        <v>4655.97</v>
      </c>
      <c r="I16" s="20">
        <f>3724.78+89.78+341.17+1.91+9.25+314.12+931.19</f>
        <v>5412.2000000000007</v>
      </c>
      <c r="J16" s="35">
        <f>157.47+99.38+75.82+392.09</f>
        <v>724.76</v>
      </c>
      <c r="K16" s="45">
        <f>Tabela4[[#This Row],[Rem. Bruta (2)]]-Tabela4[[#This Row],[Descontos]]</f>
        <v>4687.4400000000005</v>
      </c>
    </row>
    <row r="17" spans="2:11" ht="15" customHeight="1" x14ac:dyDescent="0.25">
      <c r="B17" s="29">
        <v>106</v>
      </c>
      <c r="C17" s="11" t="s">
        <v>64</v>
      </c>
      <c r="D17" s="11" t="s">
        <v>19</v>
      </c>
      <c r="E17" s="7" t="s">
        <v>10</v>
      </c>
      <c r="F17" s="5" t="s">
        <v>11</v>
      </c>
      <c r="G17" s="5" t="s">
        <v>12</v>
      </c>
      <c r="H17" s="20">
        <v>3741.41</v>
      </c>
      <c r="I17" s="20">
        <v>3741.41</v>
      </c>
      <c r="J17" s="35">
        <f>341.85+4.3</f>
        <v>346.15000000000003</v>
      </c>
      <c r="K17" s="45">
        <f>Tabela4[[#This Row],[Rem. Bruta (2)]]-Tabela4[[#This Row],[Descontos]]</f>
        <v>3395.2599999999998</v>
      </c>
    </row>
    <row r="18" spans="2:11" ht="15" customHeight="1" x14ac:dyDescent="0.25">
      <c r="B18" s="29">
        <v>12</v>
      </c>
      <c r="C18" s="11" t="s">
        <v>22</v>
      </c>
      <c r="D18" s="11" t="s">
        <v>23</v>
      </c>
      <c r="E18" s="7" t="s">
        <v>24</v>
      </c>
      <c r="F18" s="5" t="s">
        <v>15</v>
      </c>
      <c r="G18" s="5" t="s">
        <v>12</v>
      </c>
      <c r="H18" s="20">
        <v>24786.799999999999</v>
      </c>
      <c r="I18" s="20">
        <f>24786.8+826.23+2478.68</f>
        <v>28091.71</v>
      </c>
      <c r="J18" s="35">
        <f>2710.81+951.62+2919.4</f>
        <v>6581.83</v>
      </c>
      <c r="K18" s="45">
        <f>Tabela4[[#This Row],[Rem. Bruta (2)]]-Tabela4[[#This Row],[Descontos]]</f>
        <v>21509.879999999997</v>
      </c>
    </row>
    <row r="19" spans="2:11" ht="15" customHeight="1" x14ac:dyDescent="0.25">
      <c r="B19" s="29">
        <v>215</v>
      </c>
      <c r="C19" s="6" t="s">
        <v>113</v>
      </c>
      <c r="D19" s="6" t="s">
        <v>112</v>
      </c>
      <c r="E19" s="7" t="s">
        <v>10</v>
      </c>
      <c r="F19" s="5" t="s">
        <v>18</v>
      </c>
      <c r="G19" s="5" t="s">
        <v>12</v>
      </c>
      <c r="H19" s="20">
        <v>4655.97</v>
      </c>
      <c r="I19" s="20">
        <f>4655.97+54.3+217.2</f>
        <v>4927.47</v>
      </c>
      <c r="J19" s="35">
        <f>235.48+499.42</f>
        <v>734.9</v>
      </c>
      <c r="K19" s="45">
        <f>Tabela4[[#This Row],[Rem. Bruta (2)]]-Tabela4[[#This Row],[Descontos]]</f>
        <v>4192.5700000000006</v>
      </c>
    </row>
    <row r="20" spans="2:11" ht="15" customHeight="1" x14ac:dyDescent="0.25">
      <c r="B20" s="29">
        <v>219</v>
      </c>
      <c r="C20" s="6" t="s">
        <v>114</v>
      </c>
      <c r="D20" s="10" t="s">
        <v>59</v>
      </c>
      <c r="E20" s="18" t="s">
        <v>14</v>
      </c>
      <c r="F20" s="5" t="s">
        <v>21</v>
      </c>
      <c r="G20" s="5" t="s">
        <v>12</v>
      </c>
      <c r="H20" s="20">
        <v>3741.41</v>
      </c>
      <c r="I20" s="20">
        <f>2743.7+82.53+280.61+3.65+15.41+338.92+997.71+62.36</f>
        <v>4524.8900000000003</v>
      </c>
      <c r="J20" s="35">
        <f>22.97+109.81+58.3+266.22</f>
        <v>457.3</v>
      </c>
      <c r="K20" s="45">
        <f>Tabela4[[#This Row],[Rem. Bruta (2)]]-Tabela4[[#This Row],[Descontos]]</f>
        <v>4067.59</v>
      </c>
    </row>
    <row r="21" spans="2:11" ht="15" customHeight="1" x14ac:dyDescent="0.25">
      <c r="B21" s="29">
        <v>354</v>
      </c>
      <c r="C21" s="6" t="s">
        <v>122</v>
      </c>
      <c r="D21" s="10" t="s">
        <v>123</v>
      </c>
      <c r="E21" s="18" t="s">
        <v>24</v>
      </c>
      <c r="F21" s="5" t="s">
        <v>69</v>
      </c>
      <c r="G21" s="5" t="s">
        <v>12</v>
      </c>
      <c r="H21" s="20">
        <v>9095.42</v>
      </c>
      <c r="I21" s="20">
        <v>9095.42</v>
      </c>
      <c r="J21" s="35">
        <f>973.58+10+951.62+252.96</f>
        <v>2188.16</v>
      </c>
      <c r="K21" s="45">
        <f>Tabela4[[#This Row],[Rem. Bruta (2)]]-Tabela4[[#This Row],[Descontos]]</f>
        <v>6907.26</v>
      </c>
    </row>
    <row r="22" spans="2:11" ht="15" customHeight="1" x14ac:dyDescent="0.25">
      <c r="B22" s="29">
        <v>23</v>
      </c>
      <c r="C22" s="6" t="s">
        <v>25</v>
      </c>
      <c r="D22" s="6" t="s">
        <v>87</v>
      </c>
      <c r="E22" s="7" t="s">
        <v>10</v>
      </c>
      <c r="F22" s="5" t="s">
        <v>15</v>
      </c>
      <c r="G22" s="5" t="s">
        <v>12</v>
      </c>
      <c r="H22" s="20">
        <v>6685.14</v>
      </c>
      <c r="I22" s="20">
        <v>6685.14</v>
      </c>
      <c r="J22" s="35">
        <f>581.6+715+20.27+217.83</f>
        <v>1534.6999999999998</v>
      </c>
      <c r="K22" s="45">
        <f>Tabela4[[#This Row],[Rem. Bruta (2)]]-Tabela4[[#This Row],[Descontos]]</f>
        <v>5150.4400000000005</v>
      </c>
    </row>
    <row r="23" spans="2:11" ht="15" customHeight="1" x14ac:dyDescent="0.25">
      <c r="B23" s="29">
        <v>168</v>
      </c>
      <c r="C23" s="6" t="s">
        <v>94</v>
      </c>
      <c r="D23" s="6" t="s">
        <v>104</v>
      </c>
      <c r="E23" s="7" t="s">
        <v>10</v>
      </c>
      <c r="F23" s="5" t="s">
        <v>69</v>
      </c>
      <c r="G23" s="5" t="s">
        <v>12</v>
      </c>
      <c r="H23" s="20">
        <v>4988.55</v>
      </c>
      <c r="I23" s="20">
        <f>4988.55+32.93+131.7</f>
        <v>5153.18</v>
      </c>
      <c r="J23" s="35">
        <f>289.98+531.02</f>
        <v>821</v>
      </c>
      <c r="K23" s="45">
        <f>Tabela4[[#This Row],[Rem. Bruta (2)]]-Tabela4[[#This Row],[Descontos]]</f>
        <v>4332.18</v>
      </c>
    </row>
    <row r="24" spans="2:11" ht="15" customHeight="1" x14ac:dyDescent="0.25">
      <c r="B24" s="29">
        <v>170</v>
      </c>
      <c r="C24" s="6" t="s">
        <v>95</v>
      </c>
      <c r="D24" s="6" t="s">
        <v>99</v>
      </c>
      <c r="E24" s="22" t="s">
        <v>24</v>
      </c>
      <c r="F24" s="5" t="s">
        <v>69</v>
      </c>
      <c r="G24" s="5" t="s">
        <v>12</v>
      </c>
      <c r="H24" s="20">
        <v>9095.42</v>
      </c>
      <c r="I24" s="20">
        <v>9095.42</v>
      </c>
      <c r="J24" s="35">
        <f>992.54+10+951.62+338.28</f>
        <v>2292.4399999999996</v>
      </c>
      <c r="K24" s="45">
        <f>Tabela4[[#This Row],[Rem. Bruta (2)]]-Tabela4[[#This Row],[Descontos]]</f>
        <v>6802.9800000000005</v>
      </c>
    </row>
    <row r="25" spans="2:11" ht="15" customHeight="1" x14ac:dyDescent="0.25">
      <c r="B25" s="29">
        <v>157</v>
      </c>
      <c r="C25" s="6" t="s">
        <v>86</v>
      </c>
      <c r="D25" s="9" t="s">
        <v>160</v>
      </c>
      <c r="E25" s="22" t="s">
        <v>10</v>
      </c>
      <c r="F25" s="5" t="s">
        <v>69</v>
      </c>
      <c r="G25" s="5" t="s">
        <v>12</v>
      </c>
      <c r="H25" s="20">
        <v>3741.41</v>
      </c>
      <c r="I25" s="20">
        <f>3367.27+374.14</f>
        <v>3741.41</v>
      </c>
      <c r="J25" s="35">
        <f>229.5+940.59+877.98</f>
        <v>2048.0700000000002</v>
      </c>
      <c r="K25" s="45">
        <f>Tabela4[[#This Row],[Rem. Bruta (2)]]-Tabela4[[#This Row],[Descontos]]</f>
        <v>1693.3399999999997</v>
      </c>
    </row>
    <row r="26" spans="2:11" ht="15" customHeight="1" x14ac:dyDescent="0.25">
      <c r="B26" s="29">
        <v>13</v>
      </c>
      <c r="C26" s="10" t="s">
        <v>27</v>
      </c>
      <c r="D26" s="10" t="s">
        <v>104</v>
      </c>
      <c r="E26" s="18" t="s">
        <v>17</v>
      </c>
      <c r="F26" s="5" t="s">
        <v>20</v>
      </c>
      <c r="G26" s="5" t="s">
        <v>12</v>
      </c>
      <c r="H26" s="20">
        <v>2494.2800000000002</v>
      </c>
      <c r="I26" s="20">
        <f>2494.28+27.22+108.88</f>
        <v>2630.38</v>
      </c>
      <c r="J26" s="35">
        <f>213.96</f>
        <v>213.96</v>
      </c>
      <c r="K26" s="45">
        <f>Tabela4[[#This Row],[Rem. Bruta (2)]]-Tabela4[[#This Row],[Descontos]]</f>
        <v>2416.42</v>
      </c>
    </row>
    <row r="27" spans="2:11" ht="15" customHeight="1" x14ac:dyDescent="0.25">
      <c r="B27" s="29">
        <v>427</v>
      </c>
      <c r="C27" s="10" t="s">
        <v>131</v>
      </c>
      <c r="D27" s="10" t="s">
        <v>19</v>
      </c>
      <c r="E27" s="18" t="s">
        <v>10</v>
      </c>
      <c r="F27" s="5" t="s">
        <v>11</v>
      </c>
      <c r="G27" s="5" t="s">
        <v>12</v>
      </c>
      <c r="H27" s="20">
        <v>3741.41</v>
      </c>
      <c r="I27" s="20">
        <f>2993.13+748.28+6.13+0.13+23.29</f>
        <v>3770.96</v>
      </c>
      <c r="J27" s="35">
        <f>76+345.91+224.48</f>
        <v>646.39</v>
      </c>
      <c r="K27" s="45">
        <f>Tabela4[[#This Row],[Rem. Bruta (2)]]-Tabela4[[#This Row],[Descontos]]</f>
        <v>3124.57</v>
      </c>
    </row>
    <row r="28" spans="2:11" ht="15" customHeight="1" x14ac:dyDescent="0.25">
      <c r="B28" s="29">
        <v>119</v>
      </c>
      <c r="C28" s="10" t="s">
        <v>68</v>
      </c>
      <c r="D28" s="10" t="s">
        <v>63</v>
      </c>
      <c r="E28" s="18" t="s">
        <v>24</v>
      </c>
      <c r="F28" s="5" t="s">
        <v>69</v>
      </c>
      <c r="G28" s="5" t="s">
        <v>12</v>
      </c>
      <c r="H28" s="20">
        <v>14666.32</v>
      </c>
      <c r="I28" s="20">
        <v>14666.32</v>
      </c>
      <c r="J28" s="35">
        <f>1613.29+27.5+951.62+1249.52</f>
        <v>3841.93</v>
      </c>
      <c r="K28" s="45">
        <f>Tabela4[[#This Row],[Rem. Bruta (2)]]-Tabela4[[#This Row],[Descontos]]</f>
        <v>10824.39</v>
      </c>
    </row>
    <row r="29" spans="2:11" ht="15" customHeight="1" x14ac:dyDescent="0.25">
      <c r="B29" s="29">
        <v>24</v>
      </c>
      <c r="C29" s="9" t="s">
        <v>29</v>
      </c>
      <c r="D29" s="9" t="s">
        <v>128</v>
      </c>
      <c r="E29" s="7" t="s">
        <v>24</v>
      </c>
      <c r="F29" s="5" t="s">
        <v>15</v>
      </c>
      <c r="G29" s="5" t="s">
        <v>12</v>
      </c>
      <c r="H29" s="20">
        <v>10027.68</v>
      </c>
      <c r="I29" s="20">
        <f>10027.68+668.51</f>
        <v>10696.19</v>
      </c>
      <c r="J29" s="35">
        <f>1103.05+17.5+951.62+484.14</f>
        <v>2556.31</v>
      </c>
      <c r="K29" s="45">
        <f>Tabela4[[#This Row],[Rem. Bruta (2)]]-Tabela4[[#This Row],[Descontos]]</f>
        <v>8139.880000000001</v>
      </c>
    </row>
    <row r="30" spans="2:11" ht="15" customHeight="1" x14ac:dyDescent="0.25">
      <c r="B30" s="29">
        <v>456</v>
      </c>
      <c r="C30" s="9" t="s">
        <v>132</v>
      </c>
      <c r="D30" s="9" t="s">
        <v>133</v>
      </c>
      <c r="E30" s="7" t="s">
        <v>14</v>
      </c>
      <c r="F30" s="5" t="s">
        <v>20</v>
      </c>
      <c r="G30" s="5" t="s">
        <v>12</v>
      </c>
      <c r="H30" s="20">
        <v>1920.58</v>
      </c>
      <c r="I30" s="20">
        <f>1920.58+132.16+528.64</f>
        <v>2581.3799999999997</v>
      </c>
      <c r="J30" s="35">
        <f>209.55+115.23</f>
        <v>324.78000000000003</v>
      </c>
      <c r="K30" s="45">
        <f>Tabela4[[#This Row],[Rem. Bruta (2)]]-Tabela4[[#This Row],[Descontos]]</f>
        <v>2256.5999999999995</v>
      </c>
    </row>
    <row r="31" spans="2:11" ht="15" customHeight="1" x14ac:dyDescent="0.25">
      <c r="B31" s="29">
        <v>150</v>
      </c>
      <c r="C31" s="9" t="s">
        <v>82</v>
      </c>
      <c r="D31" s="9" t="s">
        <v>9</v>
      </c>
      <c r="E31" s="7" t="s">
        <v>10</v>
      </c>
      <c r="F31" s="5" t="s">
        <v>69</v>
      </c>
      <c r="G31" s="5" t="s">
        <v>12</v>
      </c>
      <c r="H31" s="20">
        <v>3741.41</v>
      </c>
      <c r="I31" s="20">
        <f>1995.42+85.4+256.19+2.24+10.07+586.1+1745.99</f>
        <v>4681.41</v>
      </c>
      <c r="J31" s="35">
        <f>188.22+89.2+187.56+119.72</f>
        <v>584.70000000000005</v>
      </c>
      <c r="K31" s="45">
        <f>Tabela4[[#This Row],[Rem. Bruta (2)]]-Tabela4[[#This Row],[Descontos]]</f>
        <v>4096.71</v>
      </c>
    </row>
    <row r="32" spans="2:11" ht="15" customHeight="1" x14ac:dyDescent="0.25">
      <c r="B32" s="29">
        <v>203</v>
      </c>
      <c r="C32" s="9" t="s">
        <v>106</v>
      </c>
      <c r="D32" s="9" t="s">
        <v>127</v>
      </c>
      <c r="E32" s="7" t="s">
        <v>10</v>
      </c>
      <c r="F32" s="5" t="s">
        <v>69</v>
      </c>
      <c r="G32" s="5" t="s">
        <v>12</v>
      </c>
      <c r="H32" s="20">
        <v>1920.58</v>
      </c>
      <c r="I32" s="20">
        <f>1920.58+225.65+902.58+576.17</f>
        <v>3624.98</v>
      </c>
      <c r="J32" s="35">
        <f>328.4</f>
        <v>328.4</v>
      </c>
      <c r="K32" s="45">
        <f>Tabela4[[#This Row],[Rem. Bruta (2)]]-Tabela4[[#This Row],[Descontos]]</f>
        <v>3296.58</v>
      </c>
    </row>
    <row r="33" spans="2:11" ht="15" customHeight="1" x14ac:dyDescent="0.25">
      <c r="B33" s="29">
        <v>599</v>
      </c>
      <c r="C33" s="9" t="s">
        <v>158</v>
      </c>
      <c r="D33" s="9" t="s">
        <v>160</v>
      </c>
      <c r="E33" s="7" t="s">
        <v>14</v>
      </c>
      <c r="F33" s="5" t="s">
        <v>69</v>
      </c>
      <c r="G33" s="5" t="s">
        <v>12</v>
      </c>
      <c r="H33" s="20">
        <v>3741.41</v>
      </c>
      <c r="I33" s="20">
        <f>3741.41</f>
        <v>3741.41</v>
      </c>
      <c r="J33" s="35">
        <f>331.77+88.3</f>
        <v>420.07</v>
      </c>
      <c r="K33" s="45">
        <f>Tabela4[[#This Row],[Rem. Bruta (2)]]-Tabela4[[#This Row],[Descontos]]</f>
        <v>3321.3399999999997</v>
      </c>
    </row>
    <row r="34" spans="2:11" ht="15" customHeight="1" x14ac:dyDescent="0.25">
      <c r="B34" s="29">
        <v>45</v>
      </c>
      <c r="C34" s="10" t="s">
        <v>30</v>
      </c>
      <c r="D34" s="10" t="s">
        <v>59</v>
      </c>
      <c r="E34" s="7" t="s">
        <v>10</v>
      </c>
      <c r="F34" s="5" t="s">
        <v>20</v>
      </c>
      <c r="G34" s="5" t="s">
        <v>12</v>
      </c>
      <c r="H34" s="20">
        <v>3741.41</v>
      </c>
      <c r="I34" s="20">
        <f>3741.41+103.97+415.86</f>
        <v>4261.24</v>
      </c>
      <c r="J34" s="35">
        <f>75.97+406.15+838.78</f>
        <v>1320.9</v>
      </c>
      <c r="K34" s="45">
        <f>Tabela4[[#This Row],[Rem. Bruta (2)]]-Tabela4[[#This Row],[Descontos]]</f>
        <v>2940.3399999999997</v>
      </c>
    </row>
    <row r="35" spans="2:11" ht="15" customHeight="1" x14ac:dyDescent="0.25">
      <c r="B35" s="29">
        <v>222</v>
      </c>
      <c r="C35" s="6" t="s">
        <v>118</v>
      </c>
      <c r="D35" s="6" t="s">
        <v>119</v>
      </c>
      <c r="E35" s="7" t="s">
        <v>10</v>
      </c>
      <c r="F35" s="5" t="s">
        <v>15</v>
      </c>
      <c r="G35" s="5" t="s">
        <v>12</v>
      </c>
      <c r="H35" s="20">
        <v>4988.55</v>
      </c>
      <c r="I35" s="20">
        <f>4988.55+22.17+88.67+332.57</f>
        <v>5431.96</v>
      </c>
      <c r="J35" s="35">
        <f>310.31+523.49</f>
        <v>833.8</v>
      </c>
      <c r="K35" s="45">
        <f>Tabela4[[#This Row],[Rem. Bruta (2)]]-Tabela4[[#This Row],[Descontos]]</f>
        <v>4598.16</v>
      </c>
    </row>
    <row r="36" spans="2:11" ht="15" customHeight="1" x14ac:dyDescent="0.25">
      <c r="B36" s="29">
        <v>77</v>
      </c>
      <c r="C36" s="6" t="s">
        <v>31</v>
      </c>
      <c r="D36" s="6" t="s">
        <v>88</v>
      </c>
      <c r="E36" s="7" t="s">
        <v>10</v>
      </c>
      <c r="F36" s="5" t="s">
        <v>11</v>
      </c>
      <c r="G36" s="5" t="s">
        <v>12</v>
      </c>
      <c r="H36" s="20">
        <v>2016.62</v>
      </c>
      <c r="I36" s="20">
        <f>2016.62+441.75+1767.01+604.99</f>
        <v>4830.37</v>
      </c>
      <c r="J36" s="35">
        <f>485.83+108.09</f>
        <v>593.91999999999996</v>
      </c>
      <c r="K36" s="45">
        <f>Tabela4[[#This Row],[Rem. Bruta (2)]]-Tabela4[[#This Row],[Descontos]]</f>
        <v>4236.45</v>
      </c>
    </row>
    <row r="37" spans="2:11" ht="15" customHeight="1" x14ac:dyDescent="0.25">
      <c r="B37" s="29">
        <v>180</v>
      </c>
      <c r="C37" s="6" t="s">
        <v>98</v>
      </c>
      <c r="D37" s="6" t="s">
        <v>66</v>
      </c>
      <c r="E37" s="7" t="s">
        <v>10</v>
      </c>
      <c r="F37" s="5" t="s">
        <v>15</v>
      </c>
      <c r="G37" s="5" t="s">
        <v>12</v>
      </c>
      <c r="H37" s="20">
        <v>3741.41</v>
      </c>
      <c r="I37" s="20">
        <f>3741.41+8.28+33.11</f>
        <v>3782.8</v>
      </c>
      <c r="J37" s="35">
        <f>75.97+347.34</f>
        <v>423.30999999999995</v>
      </c>
      <c r="K37" s="45">
        <f>Tabela4[[#This Row],[Rem. Bruta (2)]]-Tabela4[[#This Row],[Descontos]]</f>
        <v>3359.4900000000002</v>
      </c>
    </row>
    <row r="38" spans="2:11" ht="15" customHeight="1" x14ac:dyDescent="0.25">
      <c r="B38" s="29">
        <v>63</v>
      </c>
      <c r="C38" s="6" t="s">
        <v>32</v>
      </c>
      <c r="D38" s="11" t="s">
        <v>117</v>
      </c>
      <c r="E38" s="7" t="s">
        <v>10</v>
      </c>
      <c r="F38" s="5" t="s">
        <v>15</v>
      </c>
      <c r="G38" s="5" t="s">
        <v>12</v>
      </c>
      <c r="H38" s="20">
        <v>4655.97</v>
      </c>
      <c r="I38" s="20">
        <f>4655.97+17.46+69.84+370.4</f>
        <v>5113.67</v>
      </c>
      <c r="J38" s="35">
        <f>225.63+473.64</f>
        <v>699.27</v>
      </c>
      <c r="K38" s="45">
        <f>Tabela4[[#This Row],[Rem. Bruta (2)]]-Tabela4[[#This Row],[Descontos]]</f>
        <v>4414.3999999999996</v>
      </c>
    </row>
    <row r="39" spans="2:11" ht="15" customHeight="1" x14ac:dyDescent="0.25">
      <c r="B39" s="29">
        <v>33</v>
      </c>
      <c r="C39" s="6" t="s">
        <v>33</v>
      </c>
      <c r="D39" s="6" t="s">
        <v>9</v>
      </c>
      <c r="E39" s="7" t="s">
        <v>10</v>
      </c>
      <c r="F39" s="5" t="s">
        <v>20</v>
      </c>
      <c r="G39" s="5" t="s">
        <v>12</v>
      </c>
      <c r="H39" s="20">
        <v>3928.48</v>
      </c>
      <c r="I39" s="20">
        <f>3928.48+27.48+109.9</f>
        <v>4065.86</v>
      </c>
      <c r="J39" s="35">
        <f>104.03+381.3</f>
        <v>485.33000000000004</v>
      </c>
      <c r="K39" s="45">
        <f>Tabela4[[#This Row],[Rem. Bruta (2)]]-Tabela4[[#This Row],[Descontos]]</f>
        <v>3580.53</v>
      </c>
    </row>
    <row r="40" spans="2:11" ht="15" customHeight="1" x14ac:dyDescent="0.25">
      <c r="B40" s="29">
        <v>28</v>
      </c>
      <c r="C40" s="11" t="s">
        <v>34</v>
      </c>
      <c r="D40" s="10" t="s">
        <v>63</v>
      </c>
      <c r="E40" s="18" t="s">
        <v>24</v>
      </c>
      <c r="F40" s="8" t="s">
        <v>11</v>
      </c>
      <c r="G40" s="5" t="s">
        <v>12</v>
      </c>
      <c r="H40" s="20">
        <v>14666.32</v>
      </c>
      <c r="I40" s="20">
        <v>14666.32</v>
      </c>
      <c r="J40" s="35">
        <f>1613.3+27.5+951.62+1197.38</f>
        <v>3789.8</v>
      </c>
      <c r="K40" s="45">
        <f>Tabela4[[#This Row],[Rem. Bruta (2)]]-Tabela4[[#This Row],[Descontos]]</f>
        <v>10876.52</v>
      </c>
    </row>
    <row r="41" spans="2:11" ht="15" customHeight="1" x14ac:dyDescent="0.25">
      <c r="B41" s="29">
        <v>38</v>
      </c>
      <c r="C41" s="11" t="s">
        <v>35</v>
      </c>
      <c r="D41" s="11" t="s">
        <v>129</v>
      </c>
      <c r="E41" s="7" t="s">
        <v>10</v>
      </c>
      <c r="F41" s="5" t="s">
        <v>21</v>
      </c>
      <c r="G41" s="5" t="s">
        <v>12</v>
      </c>
      <c r="H41" s="20">
        <v>3928.45</v>
      </c>
      <c r="I41" s="20">
        <f>3928.45+72.92+291.69+277.8</f>
        <v>4570.8599999999997</v>
      </c>
      <c r="J41" s="35">
        <f>104.6+410.61</f>
        <v>515.21</v>
      </c>
      <c r="K41" s="45">
        <f>Tabela4[[#This Row],[Rem. Bruta (2)]]-Tabela4[[#This Row],[Descontos]]</f>
        <v>4055.6499999999996</v>
      </c>
    </row>
    <row r="42" spans="2:11" ht="15" customHeight="1" x14ac:dyDescent="0.25">
      <c r="B42" s="29">
        <v>134</v>
      </c>
      <c r="C42" s="11" t="s">
        <v>76</v>
      </c>
      <c r="D42" s="11" t="s">
        <v>19</v>
      </c>
      <c r="E42" s="7" t="s">
        <v>10</v>
      </c>
      <c r="F42" s="5" t="s">
        <v>11</v>
      </c>
      <c r="G42" s="5" t="s">
        <v>12</v>
      </c>
      <c r="H42" s="20">
        <v>3741.41</v>
      </c>
      <c r="I42" s="20">
        <f>374.14+147.58+295.15+9.34+41.31+1139.31+3367.27</f>
        <v>5374.1</v>
      </c>
      <c r="J42" s="35">
        <f>466.66+34.03+61.26+294.48</f>
        <v>856.43000000000006</v>
      </c>
      <c r="K42" s="45">
        <f>Tabela4[[#This Row],[Rem. Bruta (2)]]-Tabela4[[#This Row],[Descontos]]</f>
        <v>4517.67</v>
      </c>
    </row>
    <row r="43" spans="2:11" ht="15" customHeight="1" x14ac:dyDescent="0.25">
      <c r="B43" s="29">
        <v>97</v>
      </c>
      <c r="C43" s="11" t="s">
        <v>61</v>
      </c>
      <c r="D43" s="11" t="s">
        <v>111</v>
      </c>
      <c r="E43" s="7" t="s">
        <v>10</v>
      </c>
      <c r="F43" s="5" t="s">
        <v>15</v>
      </c>
      <c r="G43" s="5" t="s">
        <v>12</v>
      </c>
      <c r="H43" s="20">
        <v>3741.41</v>
      </c>
      <c r="I43" s="20">
        <f>3741.41+13.82+55.28+249.43</f>
        <v>4059.94</v>
      </c>
      <c r="J43" s="35">
        <f>75.97+350.66</f>
        <v>426.63</v>
      </c>
      <c r="K43" s="45">
        <f>Tabela4[[#This Row],[Rem. Bruta (2)]]-Tabela4[[#This Row],[Descontos]]</f>
        <v>3633.31</v>
      </c>
    </row>
    <row r="44" spans="2:11" ht="15" customHeight="1" x14ac:dyDescent="0.25">
      <c r="B44" s="29">
        <v>459</v>
      </c>
      <c r="C44" s="11" t="s">
        <v>134</v>
      </c>
      <c r="D44" s="11" t="s">
        <v>135</v>
      </c>
      <c r="E44" s="7" t="s">
        <v>10</v>
      </c>
      <c r="F44" s="5" t="s">
        <v>69</v>
      </c>
      <c r="G44" s="5" t="s">
        <v>12</v>
      </c>
      <c r="H44" s="20">
        <v>3741.41</v>
      </c>
      <c r="I44" s="20">
        <f>3741.41+49.46+197.83</f>
        <v>3988.7</v>
      </c>
      <c r="J44" s="35">
        <f>75.97+372.04+224.48</f>
        <v>672.49</v>
      </c>
      <c r="K44" s="45">
        <f>Tabela4[[#This Row],[Rem. Bruta (2)]]-Tabela4[[#This Row],[Descontos]]</f>
        <v>3316.21</v>
      </c>
    </row>
    <row r="45" spans="2:11" ht="15" customHeight="1" x14ac:dyDescent="0.25">
      <c r="B45" s="29">
        <v>19</v>
      </c>
      <c r="C45" s="9" t="s">
        <v>36</v>
      </c>
      <c r="D45" s="9" t="s">
        <v>37</v>
      </c>
      <c r="E45" s="7" t="s">
        <v>10</v>
      </c>
      <c r="F45" s="5" t="s">
        <v>21</v>
      </c>
      <c r="G45" s="5" t="s">
        <v>12</v>
      </c>
      <c r="H45" s="20">
        <v>5013.8500000000004</v>
      </c>
      <c r="I45" s="20">
        <v>5013.8500000000004</v>
      </c>
      <c r="J45" s="35">
        <f>316.01+433.01+560.77</f>
        <v>1309.79</v>
      </c>
      <c r="K45" s="45">
        <f>Tabela4[[#This Row],[Rem. Bruta (2)]]-Tabela4[[#This Row],[Descontos]]</f>
        <v>3704.0600000000004</v>
      </c>
    </row>
    <row r="46" spans="2:11" ht="15" customHeight="1" x14ac:dyDescent="0.25">
      <c r="B46" s="29">
        <v>151</v>
      </c>
      <c r="C46" s="9" t="s">
        <v>85</v>
      </c>
      <c r="D46" s="9" t="s">
        <v>60</v>
      </c>
      <c r="E46" s="7" t="s">
        <v>10</v>
      </c>
      <c r="F46" s="5" t="s">
        <v>69</v>
      </c>
      <c r="G46" s="5" t="s">
        <v>12</v>
      </c>
      <c r="H46" s="20">
        <v>2979.46</v>
      </c>
      <c r="I46" s="20">
        <f>2979.46+89.55+358.18+893.84</f>
        <v>4321.03</v>
      </c>
      <c r="J46" s="35">
        <f>95.76+414.52</f>
        <v>510.28</v>
      </c>
      <c r="K46" s="45">
        <f>Tabela4[[#This Row],[Rem. Bruta (2)]]-Tabela4[[#This Row],[Descontos]]</f>
        <v>3810.75</v>
      </c>
    </row>
    <row r="47" spans="2:11" ht="15" customHeight="1" x14ac:dyDescent="0.25">
      <c r="B47" s="29">
        <v>129</v>
      </c>
      <c r="C47" s="9" t="s">
        <v>74</v>
      </c>
      <c r="D47" s="9" t="s">
        <v>19</v>
      </c>
      <c r="E47" s="7" t="s">
        <v>10</v>
      </c>
      <c r="F47" s="5" t="s">
        <v>18</v>
      </c>
      <c r="G47" s="5" t="s">
        <v>12</v>
      </c>
      <c r="H47" s="20">
        <v>3741.41</v>
      </c>
      <c r="I47" s="20">
        <f>3741.41+66.5+266.01+62.36</f>
        <v>4136.28</v>
      </c>
      <c r="J47" s="35">
        <f>75.97+382.27</f>
        <v>458.24</v>
      </c>
      <c r="K47" s="45">
        <f>Tabela4[[#This Row],[Rem. Bruta (2)]]-Tabela4[[#This Row],[Descontos]]</f>
        <v>3678.04</v>
      </c>
    </row>
    <row r="48" spans="2:11" ht="15" customHeight="1" x14ac:dyDescent="0.25">
      <c r="B48" s="29">
        <v>126</v>
      </c>
      <c r="C48" s="9" t="s">
        <v>72</v>
      </c>
      <c r="D48" s="9" t="s">
        <v>83</v>
      </c>
      <c r="E48" s="7" t="s">
        <v>24</v>
      </c>
      <c r="F48" s="5" t="s">
        <v>69</v>
      </c>
      <c r="G48" s="5" t="s">
        <v>12</v>
      </c>
      <c r="H48" s="20">
        <v>9095.42</v>
      </c>
      <c r="I48" s="20">
        <v>9095.42</v>
      </c>
      <c r="J48" s="35">
        <f>983.06+10+951.62+295.62+439.17</f>
        <v>2679.47</v>
      </c>
      <c r="K48" s="45">
        <f>Tabela4[[#This Row],[Rem. Bruta (2)]]-Tabela4[[#This Row],[Descontos]]</f>
        <v>6415.9500000000007</v>
      </c>
    </row>
    <row r="49" spans="2:11" ht="15" customHeight="1" x14ac:dyDescent="0.25">
      <c r="B49" s="29">
        <v>598</v>
      </c>
      <c r="C49" s="9" t="s">
        <v>156</v>
      </c>
      <c r="D49" s="9" t="s">
        <v>157</v>
      </c>
      <c r="E49" s="7" t="s">
        <v>10</v>
      </c>
      <c r="F49" s="5" t="s">
        <v>15</v>
      </c>
      <c r="G49" s="5" t="s">
        <v>12</v>
      </c>
      <c r="H49" s="20">
        <v>4665.9799999999996</v>
      </c>
      <c r="I49" s="20">
        <f>4665.98+24.67+98.69+311.07</f>
        <v>5100.4099999999989</v>
      </c>
      <c r="J49" s="35">
        <f>158.67+480.09</f>
        <v>638.76</v>
      </c>
      <c r="K49" s="45">
        <f>Tabela4[[#This Row],[Rem. Bruta (2)]]-Tabela4[[#This Row],[Descontos]]</f>
        <v>4461.6499999999987</v>
      </c>
    </row>
    <row r="50" spans="2:11" ht="15" customHeight="1" x14ac:dyDescent="0.25">
      <c r="B50" s="29">
        <v>205</v>
      </c>
      <c r="C50" s="9" t="s">
        <v>107</v>
      </c>
      <c r="D50" s="9" t="s">
        <v>93</v>
      </c>
      <c r="E50" s="7" t="s">
        <v>10</v>
      </c>
      <c r="F50" s="5" t="s">
        <v>15</v>
      </c>
      <c r="G50" s="5" t="s">
        <v>12</v>
      </c>
      <c r="H50" s="20">
        <v>3741.41</v>
      </c>
      <c r="I50" s="20">
        <f>3741.41+12.49+49.95</f>
        <v>3803.8499999999995</v>
      </c>
      <c r="J50" s="35">
        <f>75.97+349.86</f>
        <v>425.83000000000004</v>
      </c>
      <c r="K50" s="45">
        <f>Tabela4[[#This Row],[Rem. Bruta (2)]]-Tabela4[[#This Row],[Descontos]]</f>
        <v>3378.0199999999995</v>
      </c>
    </row>
    <row r="51" spans="2:11" ht="15" customHeight="1" x14ac:dyDescent="0.25">
      <c r="B51" s="29">
        <v>27</v>
      </c>
      <c r="C51" s="11" t="s">
        <v>38</v>
      </c>
      <c r="D51" s="11" t="s">
        <v>104</v>
      </c>
      <c r="E51" s="7" t="s">
        <v>10</v>
      </c>
      <c r="F51" s="5" t="s">
        <v>21</v>
      </c>
      <c r="G51" s="5" t="s">
        <v>12</v>
      </c>
      <c r="H51" s="20">
        <v>4988.55</v>
      </c>
      <c r="I51" s="20">
        <f>4988.55+31.99+127.96+83.14</f>
        <v>5231.6400000000003</v>
      </c>
      <c r="J51" s="35">
        <f>289.98+530.37</f>
        <v>820.35</v>
      </c>
      <c r="K51" s="45">
        <f>Tabela4[[#This Row],[Rem. Bruta (2)]]-Tabela4[[#This Row],[Descontos]]</f>
        <v>4411.29</v>
      </c>
    </row>
    <row r="52" spans="2:11" ht="15" customHeight="1" x14ac:dyDescent="0.25">
      <c r="B52" s="29">
        <v>56</v>
      </c>
      <c r="C52" s="10" t="s">
        <v>62</v>
      </c>
      <c r="D52" s="10" t="s">
        <v>40</v>
      </c>
      <c r="E52" s="7" t="s">
        <v>10</v>
      </c>
      <c r="F52" s="5" t="s">
        <v>20</v>
      </c>
      <c r="G52" s="5" t="s">
        <v>12</v>
      </c>
      <c r="H52" s="20">
        <v>3741.41</v>
      </c>
      <c r="I52" s="20">
        <f>2743.7+18.57+63.14+1.64+7.2+335.52+997.71</f>
        <v>4167.4799999999996</v>
      </c>
      <c r="J52" s="35">
        <f>22.97+113.67+47.38+232.45</f>
        <v>416.46999999999997</v>
      </c>
      <c r="K52" s="45">
        <f>Tabela4[[#This Row],[Rem. Bruta (2)]]-Tabela4[[#This Row],[Descontos]]</f>
        <v>3751.0099999999998</v>
      </c>
    </row>
    <row r="53" spans="2:11" ht="15" customHeight="1" x14ac:dyDescent="0.25">
      <c r="B53" s="29">
        <v>107</v>
      </c>
      <c r="C53" s="6" t="s">
        <v>65</v>
      </c>
      <c r="D53" s="6" t="s">
        <v>59</v>
      </c>
      <c r="E53" s="7" t="s">
        <v>10</v>
      </c>
      <c r="F53" s="8" t="s">
        <v>11</v>
      </c>
      <c r="G53" s="5" t="s">
        <v>12</v>
      </c>
      <c r="H53" s="20">
        <v>3741.41</v>
      </c>
      <c r="I53" s="20">
        <f>1496.56+8.42+25.25+6.93+30.05+760.61+2244.85</f>
        <v>4572.67</v>
      </c>
      <c r="J53" s="35">
        <f>258.49+76.31+114.95</f>
        <v>449.75</v>
      </c>
      <c r="K53" s="45">
        <f>Tabela4[[#This Row],[Rem. Bruta (2)]]-Tabela4[[#This Row],[Descontos]]</f>
        <v>4122.92</v>
      </c>
    </row>
    <row r="54" spans="2:11" ht="15" customHeight="1" x14ac:dyDescent="0.25">
      <c r="B54" s="29">
        <v>573</v>
      </c>
      <c r="C54" s="6" t="s">
        <v>154</v>
      </c>
      <c r="D54" s="6" t="s">
        <v>155</v>
      </c>
      <c r="E54" s="7" t="s">
        <v>24</v>
      </c>
      <c r="F54" s="8" t="s">
        <v>69</v>
      </c>
      <c r="G54" s="5" t="s">
        <v>12</v>
      </c>
      <c r="H54" s="20">
        <v>9095.42</v>
      </c>
      <c r="I54" s="20">
        <v>9095.42</v>
      </c>
      <c r="J54" s="35">
        <f>992.54+10+951.62+338.28</f>
        <v>2292.4399999999996</v>
      </c>
      <c r="K54" s="45">
        <f>Tabela4[[#This Row],[Rem. Bruta (2)]]-Tabela4[[#This Row],[Descontos]]</f>
        <v>6802.9800000000005</v>
      </c>
    </row>
    <row r="55" spans="2:11" ht="15" customHeight="1" x14ac:dyDescent="0.25">
      <c r="B55" s="29">
        <v>210</v>
      </c>
      <c r="C55" s="6" t="s">
        <v>109</v>
      </c>
      <c r="D55" s="9" t="s">
        <v>160</v>
      </c>
      <c r="E55" s="7" t="s">
        <v>124</v>
      </c>
      <c r="F55" s="8" t="s">
        <v>69</v>
      </c>
      <c r="G55" s="5" t="s">
        <v>12</v>
      </c>
      <c r="H55" s="20">
        <v>2806.07</v>
      </c>
      <c r="I55" s="20">
        <f>2806.07+26.31+105.23</f>
        <v>2937.61</v>
      </c>
      <c r="J55" s="35">
        <f>245.91+168.36</f>
        <v>414.27</v>
      </c>
      <c r="K55" s="45">
        <f>Tabela4[[#This Row],[Rem. Bruta (2)]]-Tabela4[[#This Row],[Descontos]]</f>
        <v>2523.34</v>
      </c>
    </row>
    <row r="56" spans="2:11" ht="15" customHeight="1" x14ac:dyDescent="0.25">
      <c r="B56" s="29">
        <v>139</v>
      </c>
      <c r="C56" s="6" t="s">
        <v>80</v>
      </c>
      <c r="D56" s="6" t="s">
        <v>19</v>
      </c>
      <c r="E56" s="7" t="s">
        <v>10</v>
      </c>
      <c r="F56" s="5" t="s">
        <v>11</v>
      </c>
      <c r="G56" s="5" t="s">
        <v>12</v>
      </c>
      <c r="H56" s="20">
        <v>3741.41</v>
      </c>
      <c r="I56" s="20">
        <f>3242.56+498.85+45.04+0.94+150.12</f>
        <v>3937.5099999999998</v>
      </c>
      <c r="J56" s="35">
        <f>75.97+365.9</f>
        <v>441.87</v>
      </c>
      <c r="K56" s="45">
        <f>Tabela4[[#This Row],[Rem. Bruta (2)]]-Tabela4[[#This Row],[Descontos]]</f>
        <v>3495.64</v>
      </c>
    </row>
    <row r="57" spans="2:11" ht="15" customHeight="1" x14ac:dyDescent="0.25">
      <c r="B57" s="29">
        <v>128</v>
      </c>
      <c r="C57" s="6" t="s">
        <v>73</v>
      </c>
      <c r="D57" s="10" t="s">
        <v>19</v>
      </c>
      <c r="E57" s="7" t="s">
        <v>10</v>
      </c>
      <c r="F57" s="5" t="s">
        <v>11</v>
      </c>
      <c r="G57" s="5" t="s">
        <v>12</v>
      </c>
      <c r="H57" s="20">
        <f>3367.27+374.14+2.05</f>
        <v>3743.46</v>
      </c>
      <c r="I57" s="20">
        <f>2993.13+748.28+63.36+4.09+240.76</f>
        <v>4049.62</v>
      </c>
      <c r="J57" s="35">
        <f>76.28+379.35</f>
        <v>455.63</v>
      </c>
      <c r="K57" s="45">
        <f>Tabela4[[#This Row],[Rem. Bruta (2)]]-Tabela4[[#This Row],[Descontos]]</f>
        <v>3593.99</v>
      </c>
    </row>
    <row r="58" spans="2:11" ht="15" customHeight="1" x14ac:dyDescent="0.25">
      <c r="B58" s="29">
        <v>343</v>
      </c>
      <c r="C58" s="6" t="s">
        <v>121</v>
      </c>
      <c r="D58" s="10" t="s">
        <v>120</v>
      </c>
      <c r="E58" s="7" t="s">
        <v>24</v>
      </c>
      <c r="F58" s="5" t="s">
        <v>69</v>
      </c>
      <c r="G58" s="5" t="s">
        <v>12</v>
      </c>
      <c r="H58" s="20">
        <v>9095.42</v>
      </c>
      <c r="I58" s="20">
        <v>9095.42</v>
      </c>
      <c r="J58" s="35">
        <f>992.54+10+951.62+338.28</f>
        <v>2292.4399999999996</v>
      </c>
      <c r="K58" s="45">
        <f>Tabela4[[#This Row],[Rem. Bruta (2)]]-Tabela4[[#This Row],[Descontos]]</f>
        <v>6802.9800000000005</v>
      </c>
    </row>
    <row r="59" spans="2:11" ht="15" customHeight="1" x14ac:dyDescent="0.25">
      <c r="B59" s="29">
        <v>47</v>
      </c>
      <c r="C59" s="9" t="s">
        <v>41</v>
      </c>
      <c r="D59" s="9" t="s">
        <v>79</v>
      </c>
      <c r="E59" s="7" t="s">
        <v>10</v>
      </c>
      <c r="F59" s="5" t="s">
        <v>15</v>
      </c>
      <c r="G59" s="5" t="s">
        <v>12</v>
      </c>
      <c r="H59" s="20">
        <v>3741.41</v>
      </c>
      <c r="I59" s="20">
        <f>3117.84+623.57+2.5</f>
        <v>3743.9100000000003</v>
      </c>
      <c r="J59" s="35">
        <f>76.12+338.11+37.96</f>
        <v>452.19</v>
      </c>
      <c r="K59" s="45">
        <f>Tabela4[[#This Row],[Rem. Bruta (2)]]-Tabela4[[#This Row],[Descontos]]</f>
        <v>3291.7200000000003</v>
      </c>
    </row>
    <row r="60" spans="2:11" ht="15" customHeight="1" x14ac:dyDescent="0.25">
      <c r="B60" s="29">
        <v>132</v>
      </c>
      <c r="C60" s="9" t="s">
        <v>77</v>
      </c>
      <c r="D60" s="10" t="s">
        <v>78</v>
      </c>
      <c r="E60" s="7" t="s">
        <v>10</v>
      </c>
      <c r="F60" s="21" t="s">
        <v>11</v>
      </c>
      <c r="G60" s="5" t="s">
        <v>12</v>
      </c>
      <c r="H60" s="20">
        <v>4655.97</v>
      </c>
      <c r="I60" s="20">
        <f>3879.97+2.43+7.68+0.6+2.65+259.75+776</f>
        <v>4929.08</v>
      </c>
      <c r="J60" s="35">
        <f>166.6+77.92+61.52+360.21</f>
        <v>666.25</v>
      </c>
      <c r="K60" s="45">
        <f>Tabela4[[#This Row],[Rem. Bruta (2)]]-Tabela4[[#This Row],[Descontos]]</f>
        <v>4262.83</v>
      </c>
    </row>
    <row r="61" spans="2:11" ht="15" customHeight="1" x14ac:dyDescent="0.25">
      <c r="B61" s="29">
        <v>165</v>
      </c>
      <c r="C61" s="9" t="s">
        <v>90</v>
      </c>
      <c r="D61" s="10" t="s">
        <v>89</v>
      </c>
      <c r="E61" s="7" t="s">
        <v>10</v>
      </c>
      <c r="F61" s="21" t="s">
        <v>69</v>
      </c>
      <c r="G61" s="5" t="s">
        <v>12</v>
      </c>
      <c r="H61" s="20">
        <v>4655.97</v>
      </c>
      <c r="I61" s="20">
        <v>4655.97</v>
      </c>
      <c r="J61" s="35">
        <f>143.32+461.41</f>
        <v>604.73</v>
      </c>
      <c r="K61" s="45">
        <f>Tabela4[[#This Row],[Rem. Bruta (2)]]-Tabela4[[#This Row],[Descontos]]</f>
        <v>4051.2400000000002</v>
      </c>
    </row>
    <row r="62" spans="2:11" ht="15" customHeight="1" x14ac:dyDescent="0.25">
      <c r="B62" s="29">
        <v>25</v>
      </c>
      <c r="C62" s="10" t="s">
        <v>42</v>
      </c>
      <c r="D62" s="10" t="s">
        <v>39</v>
      </c>
      <c r="E62" s="7" t="s">
        <v>10</v>
      </c>
      <c r="F62" s="19" t="s">
        <v>21</v>
      </c>
      <c r="G62" s="5" t="s">
        <v>12</v>
      </c>
      <c r="H62" s="20">
        <v>4547.7</v>
      </c>
      <c r="I62" s="20">
        <f>2273.85+35.81+143.25+0.38+1.92+758.72+2273.85</f>
        <v>5487.7800000000007</v>
      </c>
      <c r="J62" s="35">
        <f>60.48+257.58+122.3+197.99</f>
        <v>638.35</v>
      </c>
      <c r="K62" s="45">
        <f>Tabela4[[#This Row],[Rem. Bruta (2)]]-Tabela4[[#This Row],[Descontos]]</f>
        <v>4849.43</v>
      </c>
    </row>
    <row r="63" spans="2:11" ht="15" customHeight="1" x14ac:dyDescent="0.25">
      <c r="B63" s="29">
        <v>39</v>
      </c>
      <c r="C63" s="11" t="s">
        <v>43</v>
      </c>
      <c r="D63" s="11" t="s">
        <v>26</v>
      </c>
      <c r="E63" s="7" t="s">
        <v>10</v>
      </c>
      <c r="F63" s="19" t="s">
        <v>21</v>
      </c>
      <c r="G63" s="5" t="s">
        <v>12</v>
      </c>
      <c r="H63" s="20">
        <v>3928.48</v>
      </c>
      <c r="I63" s="20">
        <f>3928.48+17.16+68.65</f>
        <v>4014.29</v>
      </c>
      <c r="J63" s="35">
        <f>104.03+375.11</f>
        <v>479.14</v>
      </c>
      <c r="K63" s="45">
        <f>Tabela4[[#This Row],[Rem. Bruta (2)]]-Tabela4[[#This Row],[Descontos]]</f>
        <v>3535.15</v>
      </c>
    </row>
    <row r="64" spans="2:11" ht="15" customHeight="1" x14ac:dyDescent="0.25">
      <c r="B64" s="29">
        <v>190</v>
      </c>
      <c r="C64" s="11" t="s">
        <v>101</v>
      </c>
      <c r="D64" s="11" t="s">
        <v>102</v>
      </c>
      <c r="E64" s="7" t="s">
        <v>10</v>
      </c>
      <c r="F64" s="19" t="s">
        <v>69</v>
      </c>
      <c r="G64" s="5" t="s">
        <v>12</v>
      </c>
      <c r="H64" s="20">
        <v>3741.41</v>
      </c>
      <c r="I64" s="20">
        <f>3741.41+4.35+17.4</f>
        <v>3763.16</v>
      </c>
      <c r="J64" s="35">
        <f>75.97+344.98+224.48</f>
        <v>645.43000000000006</v>
      </c>
      <c r="K64" s="45">
        <f>Tabela4[[#This Row],[Rem. Bruta (2)]]-Tabela4[[#This Row],[Descontos]]</f>
        <v>3117.7299999999996</v>
      </c>
    </row>
    <row r="65" spans="2:11" ht="15" customHeight="1" x14ac:dyDescent="0.25">
      <c r="B65" s="29">
        <v>1</v>
      </c>
      <c r="C65" s="11" t="s">
        <v>44</v>
      </c>
      <c r="D65" s="11" t="s">
        <v>45</v>
      </c>
      <c r="E65" s="7" t="s">
        <v>24</v>
      </c>
      <c r="F65" s="5" t="s">
        <v>15</v>
      </c>
      <c r="G65" s="5" t="s">
        <v>12</v>
      </c>
      <c r="H65" s="20">
        <v>24786.799999999999</v>
      </c>
      <c r="I65" s="20">
        <v>24786.799999999999</v>
      </c>
      <c r="J65" s="35">
        <f>2726.54+951.62+2919.4+1313.95</f>
        <v>7911.5099999999993</v>
      </c>
      <c r="K65" s="45">
        <f>Tabela4[[#This Row],[Rem. Bruta (2)]]-Tabela4[[#This Row],[Descontos]]</f>
        <v>16875.29</v>
      </c>
    </row>
    <row r="66" spans="2:11" ht="15" customHeight="1" x14ac:dyDescent="0.25">
      <c r="B66" s="29">
        <v>211</v>
      </c>
      <c r="C66" s="11" t="s">
        <v>108</v>
      </c>
      <c r="D66" s="11" t="s">
        <v>19</v>
      </c>
      <c r="E66" s="7" t="s">
        <v>10</v>
      </c>
      <c r="F66" s="5" t="s">
        <v>18</v>
      </c>
      <c r="G66" s="5" t="s">
        <v>12</v>
      </c>
      <c r="H66" s="20">
        <v>3741.41</v>
      </c>
      <c r="I66" s="20">
        <f>2743.7+9.33+31.71+6.65+29.99+344.78+997.71</f>
        <v>4163.87</v>
      </c>
      <c r="J66" s="35">
        <f>22.97+103.43+61.78+227.85</f>
        <v>416.03</v>
      </c>
      <c r="K66" s="45">
        <f>Tabela4[[#This Row],[Rem. Bruta (2)]]-Tabela4[[#This Row],[Descontos]]</f>
        <v>3747.84</v>
      </c>
    </row>
    <row r="67" spans="2:11" ht="15" customHeight="1" x14ac:dyDescent="0.25">
      <c r="B67" s="29">
        <v>5</v>
      </c>
      <c r="C67" s="6" t="s">
        <v>46</v>
      </c>
      <c r="D67" s="6" t="s">
        <v>47</v>
      </c>
      <c r="E67" s="7" t="s">
        <v>10</v>
      </c>
      <c r="F67" s="5" t="s">
        <v>15</v>
      </c>
      <c r="G67" s="5" t="s">
        <v>12</v>
      </c>
      <c r="H67" s="20">
        <v>7370.35</v>
      </c>
      <c r="I67" s="20">
        <f>7370.35+50.44+201.76</f>
        <v>7622.55</v>
      </c>
      <c r="J67" s="35">
        <f>575.05+876.74+118.61</f>
        <v>1570.3999999999999</v>
      </c>
      <c r="K67" s="45">
        <f>Tabela4[[#This Row],[Rem. Bruta (2)]]-Tabela4[[#This Row],[Descontos]]</f>
        <v>6052.1500000000005</v>
      </c>
    </row>
    <row r="68" spans="2:11" ht="15" customHeight="1" x14ac:dyDescent="0.25">
      <c r="B68" s="29">
        <v>202</v>
      </c>
      <c r="C68" s="6" t="s">
        <v>105</v>
      </c>
      <c r="D68" s="6" t="s">
        <v>102</v>
      </c>
      <c r="E68" s="7" t="s">
        <v>10</v>
      </c>
      <c r="F68" s="5" t="s">
        <v>69</v>
      </c>
      <c r="G68" s="5" t="s">
        <v>12</v>
      </c>
      <c r="H68" s="20">
        <v>3741.41</v>
      </c>
      <c r="I68" s="20">
        <f>1995.42+123.19+369.56+11.58+51.95+603.17+1745.99+5.8+25.97+301.59+873</f>
        <v>6107.22</v>
      </c>
      <c r="J68" s="35">
        <f>194.37+100.17+201.16+119.72</f>
        <v>615.42000000000007</v>
      </c>
      <c r="K68" s="45">
        <f>Tabela4[[#This Row],[Rem. Bruta (2)]]-Tabela4[[#This Row],[Descontos]]</f>
        <v>5491.8</v>
      </c>
    </row>
    <row r="69" spans="2:11" ht="15" customHeight="1" x14ac:dyDescent="0.25">
      <c r="B69" s="29">
        <v>10</v>
      </c>
      <c r="C69" s="6" t="s">
        <v>48</v>
      </c>
      <c r="D69" s="6" t="s">
        <v>63</v>
      </c>
      <c r="E69" s="7" t="s">
        <v>24</v>
      </c>
      <c r="F69" s="5" t="s">
        <v>20</v>
      </c>
      <c r="G69" s="5" t="s">
        <v>12</v>
      </c>
      <c r="H69" s="20">
        <v>14666.32</v>
      </c>
      <c r="I69" s="20">
        <f>14666.32</f>
        <v>14666.32</v>
      </c>
      <c r="J69" s="35">
        <f>1613.29+27.5+951.62+1145.24</f>
        <v>3737.6499999999996</v>
      </c>
      <c r="K69" s="45">
        <f>Tabela4[[#This Row],[Rem. Bruta (2)]]-Tabela4[[#This Row],[Descontos]]</f>
        <v>10928.67</v>
      </c>
    </row>
    <row r="70" spans="2:11" ht="15" customHeight="1" x14ac:dyDescent="0.25">
      <c r="B70" s="29">
        <v>11</v>
      </c>
      <c r="C70" s="6" t="s">
        <v>49</v>
      </c>
      <c r="D70" s="6" t="s">
        <v>50</v>
      </c>
      <c r="E70" s="7" t="s">
        <v>10</v>
      </c>
      <c r="F70" s="5" t="s">
        <v>20</v>
      </c>
      <c r="G70" s="5" t="s">
        <v>12</v>
      </c>
      <c r="H70" s="20">
        <v>4655.97</v>
      </c>
      <c r="I70" s="20">
        <f>1707.19+2948.78+28.09+48.26+126.41</f>
        <v>4858.7300000000005</v>
      </c>
      <c r="J70" s="35">
        <f>144.78+2997.04</f>
        <v>3141.82</v>
      </c>
      <c r="K70" s="45">
        <f>Tabela4[[#This Row],[Rem. Bruta (2)]]-Tabela4[[#This Row],[Descontos]]</f>
        <v>1716.9100000000003</v>
      </c>
    </row>
    <row r="71" spans="2:11" ht="15" customHeight="1" x14ac:dyDescent="0.25">
      <c r="B71" s="29">
        <v>370</v>
      </c>
      <c r="C71" s="10" t="s">
        <v>125</v>
      </c>
      <c r="D71" s="9" t="s">
        <v>126</v>
      </c>
      <c r="E71" s="7" t="s">
        <v>10</v>
      </c>
      <c r="F71" s="21" t="s">
        <v>15</v>
      </c>
      <c r="G71" s="5" t="s">
        <v>12</v>
      </c>
      <c r="H71" s="20">
        <v>2743.7</v>
      </c>
      <c r="I71" s="20">
        <f>2743.7</f>
        <v>2743.7</v>
      </c>
      <c r="J71" s="35">
        <f>99.03+1423.29</f>
        <v>1522.32</v>
      </c>
      <c r="K71" s="45">
        <f>Tabela4[[#This Row],[Rem. Bruta (2)]]-Tabela4[[#This Row],[Descontos]]</f>
        <v>1221.3799999999999</v>
      </c>
    </row>
    <row r="72" spans="2:11" ht="15" customHeight="1" x14ac:dyDescent="0.25">
      <c r="B72" s="29">
        <v>9</v>
      </c>
      <c r="C72" s="6" t="s">
        <v>51</v>
      </c>
      <c r="D72" s="6" t="s">
        <v>78</v>
      </c>
      <c r="E72" s="7" t="s">
        <v>10</v>
      </c>
      <c r="F72" s="19" t="s">
        <v>21</v>
      </c>
      <c r="G72" s="5" t="s">
        <v>12</v>
      </c>
      <c r="H72" s="20">
        <v>4655.97</v>
      </c>
      <c r="I72" s="20">
        <f>3879.97+12.46+39.46+0.81+3.65+260.15+776</f>
        <v>4972.5</v>
      </c>
      <c r="J72" s="35">
        <f>160.03+78.04+62.46+365.23</f>
        <v>665.76</v>
      </c>
      <c r="K72" s="45">
        <f>Tabela4[[#This Row],[Rem. Bruta (2)]]-Tabela4[[#This Row],[Descontos]]</f>
        <v>4306.74</v>
      </c>
    </row>
    <row r="73" spans="2:11" ht="15" customHeight="1" x14ac:dyDescent="0.25">
      <c r="B73" s="29">
        <v>6</v>
      </c>
      <c r="C73" s="10" t="s">
        <v>52</v>
      </c>
      <c r="D73" s="10" t="s">
        <v>53</v>
      </c>
      <c r="E73" s="7" t="s">
        <v>24</v>
      </c>
      <c r="F73" s="5" t="s">
        <v>15</v>
      </c>
      <c r="G73" s="5" t="s">
        <v>12</v>
      </c>
      <c r="H73" s="20">
        <v>11055.52</v>
      </c>
      <c r="I73" s="20">
        <v>11055.52</v>
      </c>
      <c r="J73" s="35">
        <f>1216.11+17.5+951.62+653.73</f>
        <v>2838.96</v>
      </c>
      <c r="K73" s="45">
        <f>Tabela4[[#This Row],[Rem. Bruta (2)]]-Tabela4[[#This Row],[Descontos]]</f>
        <v>8216.5600000000013</v>
      </c>
    </row>
    <row r="74" spans="2:11" ht="15" customHeight="1" x14ac:dyDescent="0.25">
      <c r="B74" s="29">
        <v>509</v>
      </c>
      <c r="C74" s="10" t="s">
        <v>136</v>
      </c>
      <c r="D74" s="9" t="s">
        <v>160</v>
      </c>
      <c r="E74" s="7" t="s">
        <v>10</v>
      </c>
      <c r="F74" s="5" t="s">
        <v>69</v>
      </c>
      <c r="G74" s="5" t="s">
        <v>12</v>
      </c>
      <c r="H74" s="20">
        <v>3741.41</v>
      </c>
      <c r="I74" s="20">
        <v>3741.41</v>
      </c>
      <c r="J74" s="35">
        <f>75.97+298.66+364.23</f>
        <v>738.86</v>
      </c>
      <c r="K74" s="45">
        <f>Tabela4[[#This Row],[Rem. Bruta (2)]]-Tabela4[[#This Row],[Descontos]]</f>
        <v>3002.5499999999997</v>
      </c>
    </row>
    <row r="75" spans="2:11" ht="15" customHeight="1" x14ac:dyDescent="0.25">
      <c r="B75" s="29">
        <v>125</v>
      </c>
      <c r="C75" s="10" t="s">
        <v>70</v>
      </c>
      <c r="D75" s="10" t="s">
        <v>71</v>
      </c>
      <c r="E75" s="7" t="s">
        <v>24</v>
      </c>
      <c r="F75" s="5" t="s">
        <v>15</v>
      </c>
      <c r="G75" s="5" t="s">
        <v>12</v>
      </c>
      <c r="H75" s="20">
        <v>10027.68</v>
      </c>
      <c r="I75" s="20">
        <v>10027.68</v>
      </c>
      <c r="J75" s="35">
        <f>1103.04+17.5+951.62+379.87</f>
        <v>2452.0299999999997</v>
      </c>
      <c r="K75" s="45">
        <f>Tabela4[[#This Row],[Rem. Bruta (2)]]-Tabela4[[#This Row],[Descontos]]</f>
        <v>7575.6500000000005</v>
      </c>
    </row>
    <row r="76" spans="2:11" ht="15" customHeight="1" x14ac:dyDescent="0.25">
      <c r="B76" s="29">
        <v>96</v>
      </c>
      <c r="C76" s="10" t="s">
        <v>100</v>
      </c>
      <c r="D76" s="10" t="s">
        <v>19</v>
      </c>
      <c r="E76" s="7" t="s">
        <v>10</v>
      </c>
      <c r="F76" s="5" t="s">
        <v>18</v>
      </c>
      <c r="G76" s="5" t="s">
        <v>12</v>
      </c>
      <c r="H76" s="20">
        <v>3741.41</v>
      </c>
      <c r="I76" s="20">
        <f>3741.41</f>
        <v>3741.41</v>
      </c>
      <c r="J76" s="35">
        <f>75.97+340.8+13.09</f>
        <v>429.85999999999996</v>
      </c>
      <c r="K76" s="45">
        <f>Tabela4[[#This Row],[Rem. Bruta (2)]]-Tabela4[[#This Row],[Descontos]]</f>
        <v>3311.5499999999997</v>
      </c>
    </row>
    <row r="77" spans="2:11" ht="15" customHeight="1" x14ac:dyDescent="0.25">
      <c r="B77" s="29">
        <v>197</v>
      </c>
      <c r="C77" s="10" t="s">
        <v>103</v>
      </c>
      <c r="D77" s="10" t="s">
        <v>84</v>
      </c>
      <c r="E77" s="7" t="s">
        <v>10</v>
      </c>
      <c r="F77" s="5" t="s">
        <v>11</v>
      </c>
      <c r="G77" s="5" t="s">
        <v>12</v>
      </c>
      <c r="H77" s="20">
        <v>3741.41</v>
      </c>
      <c r="I77" s="20">
        <f>2993.13+748.28+1140.52+28.05+4333.96</f>
        <v>9243.94</v>
      </c>
      <c r="J77" s="35">
        <f>75.97+951.62+960.1</f>
        <v>1987.69</v>
      </c>
      <c r="K77" s="45">
        <f>Tabela4[[#This Row],[Rem. Bruta (2)]]-Tabela4[[#This Row],[Descontos]]</f>
        <v>7256.25</v>
      </c>
    </row>
    <row r="78" spans="2:11" ht="15" customHeight="1" x14ac:dyDescent="0.25">
      <c r="B78" s="29">
        <v>143</v>
      </c>
      <c r="C78" s="10" t="s">
        <v>81</v>
      </c>
      <c r="D78" s="9" t="s">
        <v>160</v>
      </c>
      <c r="E78" s="7" t="s">
        <v>10</v>
      </c>
      <c r="F78" s="5" t="s">
        <v>69</v>
      </c>
      <c r="G78" s="5" t="s">
        <v>12</v>
      </c>
      <c r="H78" s="20">
        <v>3741.41</v>
      </c>
      <c r="I78" s="20">
        <f>3741.41+144.86+579.45</f>
        <v>4465.72</v>
      </c>
      <c r="J78" s="35">
        <f>75.97+434.78</f>
        <v>510.75</v>
      </c>
      <c r="K78" s="45">
        <f>Tabela4[[#This Row],[Rem. Bruta (2)]]-Tabela4[[#This Row],[Descontos]]</f>
        <v>3954.9700000000003</v>
      </c>
    </row>
    <row r="79" spans="2:11" ht="15" customHeight="1" x14ac:dyDescent="0.25">
      <c r="B79" s="29">
        <v>389</v>
      </c>
      <c r="C79" s="10" t="s">
        <v>138</v>
      </c>
      <c r="D79" s="9" t="s">
        <v>112</v>
      </c>
      <c r="E79" s="22" t="s">
        <v>10</v>
      </c>
      <c r="F79" s="21" t="s">
        <v>21</v>
      </c>
      <c r="G79" s="5" t="s">
        <v>12</v>
      </c>
      <c r="H79" s="20">
        <v>3741.41</v>
      </c>
      <c r="I79" s="20">
        <f>3741.41+6.06+24.23</f>
        <v>3771.7</v>
      </c>
      <c r="J79" s="35">
        <f>75.97+346</f>
        <v>421.97</v>
      </c>
      <c r="K79" s="45">
        <f>Tabela4[[#This Row],[Rem. Bruta (2)]]-Tabela4[[#This Row],[Descontos]]</f>
        <v>3349.7299999999996</v>
      </c>
    </row>
    <row r="80" spans="2:11" ht="15" customHeight="1" x14ac:dyDescent="0.25">
      <c r="B80" s="29">
        <v>3</v>
      </c>
      <c r="C80" s="10" t="s">
        <v>54</v>
      </c>
      <c r="D80" s="10" t="s">
        <v>28</v>
      </c>
      <c r="E80" s="18" t="s">
        <v>24</v>
      </c>
      <c r="F80" s="19" t="s">
        <v>21</v>
      </c>
      <c r="G80" s="5" t="s">
        <v>12</v>
      </c>
      <c r="H80" s="20">
        <v>16978.09</v>
      </c>
      <c r="I80" s="20">
        <f>16978.09</f>
        <v>16978.09</v>
      </c>
      <c r="J80" s="35">
        <f>1867.59+951.62+1630.96</f>
        <v>4450.17</v>
      </c>
      <c r="K80" s="45">
        <f>Tabela4[[#This Row],[Rem. Bruta (2)]]-Tabela4[[#This Row],[Descontos]]</f>
        <v>12527.92</v>
      </c>
    </row>
    <row r="81" spans="2:11" ht="15" customHeight="1" x14ac:dyDescent="0.25">
      <c r="B81" s="29">
        <v>179</v>
      </c>
      <c r="C81" s="10" t="s">
        <v>97</v>
      </c>
      <c r="D81" s="10" t="s">
        <v>9</v>
      </c>
      <c r="E81" s="18" t="s">
        <v>10</v>
      </c>
      <c r="F81" s="19" t="s">
        <v>69</v>
      </c>
      <c r="G81" s="46">
        <v>45827</v>
      </c>
      <c r="H81" s="20">
        <v>3741.41</v>
      </c>
      <c r="I81" s="20">
        <f>2369.56+18.33+68.75+1870.71+3741.41+935.35+1249.21+1.26+0.29+5.04+1.17+312.3</f>
        <v>10573.380000000001</v>
      </c>
      <c r="J81" s="35">
        <f>75.97+1870.71+198.32+145.59+169.76</f>
        <v>2460.3500000000004</v>
      </c>
      <c r="K81" s="45">
        <f>Tabela4[[#This Row],[Rem. Bruta (2)]]-Tabela4[[#This Row],[Descontos]]</f>
        <v>8113.0300000000007</v>
      </c>
    </row>
    <row r="82" spans="2:11" ht="15" customHeight="1" x14ac:dyDescent="0.25">
      <c r="B82" s="29">
        <v>26</v>
      </c>
      <c r="C82" s="11" t="s">
        <v>55</v>
      </c>
      <c r="D82" s="11" t="s">
        <v>39</v>
      </c>
      <c r="E82" s="7" t="s">
        <v>10</v>
      </c>
      <c r="F82" s="19" t="s">
        <v>21</v>
      </c>
      <c r="G82" s="5" t="s">
        <v>12</v>
      </c>
      <c r="H82" s="20">
        <v>4547.7</v>
      </c>
      <c r="I82" s="20">
        <f>4547.7+14.75+59.01</f>
        <v>4621.46</v>
      </c>
      <c r="J82" s="35">
        <f>204.68+456.58</f>
        <v>661.26</v>
      </c>
      <c r="K82" s="45">
        <f>Tabela4[[#This Row],[Rem. Bruta (2)]]-Tabela4[[#This Row],[Descontos]]</f>
        <v>3960.2</v>
      </c>
    </row>
    <row r="83" spans="2:11" ht="15" customHeight="1" x14ac:dyDescent="0.25">
      <c r="B83" s="29">
        <v>16</v>
      </c>
      <c r="C83" s="11" t="s">
        <v>56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f>4547.7+8.78+35.13</f>
        <v>4591.6099999999997</v>
      </c>
      <c r="J83" s="35">
        <f>211.12+452.4</f>
        <v>663.52</v>
      </c>
      <c r="K83" s="45">
        <f>Tabela4[[#This Row],[Rem. Bruta (2)]]-Tabela4[[#This Row],[Descontos]]</f>
        <v>3928.0899999999997</v>
      </c>
    </row>
    <row r="84" spans="2:11" ht="15" customHeight="1" x14ac:dyDescent="0.25">
      <c r="B84" s="29">
        <v>600</v>
      </c>
      <c r="C84" s="11" t="s">
        <v>159</v>
      </c>
      <c r="D84" s="9" t="s">
        <v>160</v>
      </c>
      <c r="E84" s="7" t="s">
        <v>161</v>
      </c>
      <c r="F84" s="19" t="s">
        <v>69</v>
      </c>
      <c r="G84" s="5" t="s">
        <v>12</v>
      </c>
      <c r="H84" s="20">
        <v>3741.41</v>
      </c>
      <c r="I84" s="20">
        <f>2806.07+15.43+61.73</f>
        <v>2883.23</v>
      </c>
      <c r="J84" s="35">
        <v>239.39</v>
      </c>
      <c r="K84" s="45">
        <f>Tabela4[[#This Row],[Rem. Bruta (2)]]-Tabela4[[#This Row],[Descontos]]</f>
        <v>2643.84</v>
      </c>
    </row>
    <row r="85" spans="2:11" ht="15" customHeight="1" x14ac:dyDescent="0.25">
      <c r="B85" s="29">
        <v>18</v>
      </c>
      <c r="C85" s="9" t="s">
        <v>57</v>
      </c>
      <c r="D85" s="9" t="s">
        <v>78</v>
      </c>
      <c r="E85" s="7" t="s">
        <v>10</v>
      </c>
      <c r="F85" s="19" t="s">
        <v>21</v>
      </c>
      <c r="G85" s="5" t="s">
        <v>12</v>
      </c>
      <c r="H85" s="20">
        <v>4655.97</v>
      </c>
      <c r="I85" s="20">
        <v>4655.97</v>
      </c>
      <c r="J85" s="35">
        <f>225.63+461.09+2.33</f>
        <v>689.05000000000007</v>
      </c>
      <c r="K85" s="45">
        <f>Tabela4[[#This Row],[Rem. Bruta (2)]]-Tabela4[[#This Row],[Descontos]]</f>
        <v>3966.92</v>
      </c>
    </row>
    <row r="86" spans="2:11" ht="15" customHeight="1" x14ac:dyDescent="0.25">
      <c r="B86" s="29">
        <v>214</v>
      </c>
      <c r="C86" s="9" t="s">
        <v>110</v>
      </c>
      <c r="D86" s="9" t="s">
        <v>160</v>
      </c>
      <c r="E86" s="7" t="s">
        <v>124</v>
      </c>
      <c r="F86" s="19" t="s">
        <v>69</v>
      </c>
      <c r="G86" s="5" t="s">
        <v>12</v>
      </c>
      <c r="H86" s="20">
        <v>2806.07</v>
      </c>
      <c r="I86" s="20">
        <v>2806.07</v>
      </c>
      <c r="J86" s="35">
        <f>198.93+342.65+168.36</f>
        <v>709.93999999999994</v>
      </c>
      <c r="K86" s="45">
        <f>Tabela4[[#This Row],[Rem. Bruta (2)]]-Tabela4[[#This Row],[Descontos]]</f>
        <v>2096.13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3284.86+2034.3+8137.2+985.46</f>
        <v>14441.82</v>
      </c>
      <c r="J87" s="35">
        <f>128.4+951.62+2335.47</f>
        <v>3415.49</v>
      </c>
      <c r="K87" s="45">
        <f>Tabela4[[#This Row],[Rem. Bruta (2)]]-Tabela4[[#This Row],[Descontos]]</f>
        <v>11026.33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v>3741.41</v>
      </c>
      <c r="J88" s="35">
        <f>75.97+331.64+89.42</f>
        <v>497.03000000000003</v>
      </c>
      <c r="K88" s="45">
        <f>Tabela4[[#This Row],[Rem. Bruta (2)]]-Tabela4[[#This Row],[Descontos]]</f>
        <v>3244.3799999999997</v>
      </c>
    </row>
    <row r="89" spans="2:11" ht="15" customHeight="1" x14ac:dyDescent="0.25">
      <c r="B89" s="29">
        <v>532</v>
      </c>
      <c r="C89" s="10" t="s">
        <v>137</v>
      </c>
      <c r="D89" s="10" t="s">
        <v>112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v>3741.41</v>
      </c>
      <c r="J89" s="35">
        <f>75.97+341.74+5.24+224.48</f>
        <v>647.43000000000006</v>
      </c>
      <c r="K89" s="45">
        <f>Tabela4[[#This Row],[Rem. Bruta (2)]]-Tabela4[[#This Row],[Descontos]]</f>
        <v>3093.9799999999996</v>
      </c>
    </row>
    <row r="90" spans="2:11" ht="15" customHeight="1" x14ac:dyDescent="0.25">
      <c r="B90" s="30">
        <v>218</v>
      </c>
      <c r="C90" s="31" t="s">
        <v>115</v>
      </c>
      <c r="D90" s="9" t="s">
        <v>160</v>
      </c>
      <c r="E90" s="22" t="s">
        <v>124</v>
      </c>
      <c r="F90" s="32" t="s">
        <v>69</v>
      </c>
      <c r="G90" s="21" t="s">
        <v>12</v>
      </c>
      <c r="H90" s="34">
        <v>2806.07</v>
      </c>
      <c r="I90" s="20">
        <f>2806.07+55.54+222.15</f>
        <v>3083.76</v>
      </c>
      <c r="J90" s="20">
        <f>263.45+168.36</f>
        <v>431.81</v>
      </c>
      <c r="K90" s="45">
        <f>Tabela4[[#This Row],[Rem. Bruta (2)]]-Tabela4[[#This Row],[Descontos]]</f>
        <v>2651.9500000000003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v>81</v>
      </c>
      <c r="C92" s="40" t="s">
        <v>163</v>
      </c>
      <c r="D92" s="44" t="s">
        <v>152</v>
      </c>
      <c r="E92" s="44">
        <v>0</v>
      </c>
      <c r="H92" s="42" t="s">
        <v>140</v>
      </c>
      <c r="I92" s="43">
        <f>SUM(I10:I90)</f>
        <v>502905.36999999982</v>
      </c>
      <c r="J92" s="43">
        <f>SUM(J10:J90)</f>
        <v>101828.73000000001</v>
      </c>
      <c r="K92" s="43">
        <f>SUM(K10:K90)</f>
        <v>401076.64</v>
      </c>
    </row>
    <row r="93" spans="2:11" x14ac:dyDescent="0.25">
      <c r="B93" s="41">
        <v>1</v>
      </c>
      <c r="C93" s="40" t="s">
        <v>146</v>
      </c>
      <c r="D93" s="44" t="s">
        <v>153</v>
      </c>
      <c r="E93" s="44">
        <v>1</v>
      </c>
    </row>
    <row r="94" spans="2:11" x14ac:dyDescent="0.25">
      <c r="B94" s="41">
        <f>B92-B93</f>
        <v>80</v>
      </c>
      <c r="C94" s="40" t="s">
        <v>164</v>
      </c>
    </row>
    <row r="95" spans="2:11" s="3" customFormat="1" x14ac:dyDescent="0.25">
      <c r="B95" s="44" t="s">
        <v>151</v>
      </c>
      <c r="C95" s="2"/>
      <c r="F95" s="23"/>
      <c r="G95" s="23"/>
      <c r="H95" s="2"/>
      <c r="I95" s="12"/>
      <c r="J95" s="2"/>
      <c r="K95" s="13"/>
    </row>
    <row r="96" spans="2:11" x14ac:dyDescent="0.25">
      <c r="B96" s="47" t="s">
        <v>150</v>
      </c>
      <c r="C96" s="47"/>
      <c r="D96" s="47"/>
      <c r="E96" s="47"/>
      <c r="F96" s="47"/>
      <c r="G96" s="47"/>
      <c r="H96" s="47"/>
      <c r="I96" s="47"/>
      <c r="J96" s="47"/>
      <c r="K96" s="47"/>
    </row>
    <row r="97" spans="1:12" x14ac:dyDescent="0.25">
      <c r="B97" s="47" t="s">
        <v>145</v>
      </c>
      <c r="C97" s="47"/>
      <c r="D97" s="47"/>
      <c r="E97" s="47"/>
      <c r="F97" s="47"/>
      <c r="G97" s="47"/>
      <c r="H97" s="47"/>
      <c r="I97" s="47"/>
      <c r="J97" s="47"/>
      <c r="K97" s="47"/>
    </row>
    <row r="98" spans="1:12" x14ac:dyDescent="0.25">
      <c r="B98" s="47" t="s">
        <v>147</v>
      </c>
      <c r="C98" s="47"/>
      <c r="D98" s="47"/>
      <c r="E98" s="47"/>
      <c r="F98" s="47"/>
      <c r="G98" s="47"/>
      <c r="H98" s="47"/>
      <c r="I98" s="47"/>
      <c r="J98" s="47"/>
      <c r="K98" s="47"/>
    </row>
    <row r="100" spans="1:12" s="3" customFormat="1" x14ac:dyDescent="0.25">
      <c r="A100"/>
      <c r="B100" s="1"/>
      <c r="C100" s="4"/>
      <c r="D100"/>
      <c r="E100"/>
      <c r="F100" s="1"/>
      <c r="G100" s="1"/>
      <c r="H100" s="2"/>
      <c r="I100" s="12"/>
      <c r="J100" s="2"/>
      <c r="K100" s="2"/>
      <c r="L100"/>
    </row>
  </sheetData>
  <mergeCells count="8">
    <mergeCell ref="B96:K96"/>
    <mergeCell ref="B97:K97"/>
    <mergeCell ref="B98:K98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JUNHO</vt:lpstr>
      <vt:lpstr>JUNHO!Area_de_impressao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2025-07-24T12:55:54Z</dcterms:modified>
</cp:coreProperties>
</file>