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AGOSTO" sheetId="3" r:id="rId1"/>
  </sheets>
  <definedNames>
    <definedName name="_xlnm.Print_Area" localSheetId="0">AGOSTO!$A$1:$K$100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0" i="3" l="1"/>
  <c r="J89" i="3"/>
  <c r="I85" i="3"/>
  <c r="J76" i="3"/>
  <c r="I76" i="3"/>
  <c r="J70" i="3"/>
  <c r="J66" i="3"/>
  <c r="I66" i="3"/>
  <c r="J63" i="3"/>
  <c r="I63" i="3"/>
  <c r="J60" i="3"/>
  <c r="J57" i="3"/>
  <c r="I57" i="3"/>
  <c r="J56" i="3"/>
  <c r="J51" i="3"/>
  <c r="I49" i="3"/>
  <c r="J47" i="3"/>
  <c r="I47" i="3"/>
  <c r="J36" i="3"/>
  <c r="I36" i="3"/>
  <c r="J34" i="3"/>
  <c r="I34" i="3"/>
  <c r="J33" i="3"/>
  <c r="J30" i="3"/>
  <c r="I30" i="3"/>
  <c r="J27" i="3"/>
  <c r="I27" i="3"/>
  <c r="J26" i="3"/>
  <c r="J25" i="3"/>
  <c r="J23" i="3"/>
  <c r="I23" i="3"/>
  <c r="J17" i="3"/>
  <c r="J16" i="3"/>
  <c r="J14" i="3"/>
  <c r="J86" i="3"/>
  <c r="J84" i="3"/>
  <c r="I84" i="3"/>
  <c r="J83" i="3"/>
  <c r="J82" i="3"/>
  <c r="J81" i="3"/>
  <c r="I81" i="3"/>
  <c r="K81" i="3"/>
  <c r="J74" i="3" l="1"/>
  <c r="J65" i="3"/>
  <c r="J64" i="3"/>
  <c r="J53" i="3"/>
  <c r="I53" i="3"/>
  <c r="J48" i="3"/>
  <c r="I48" i="3"/>
  <c r="J44" i="3"/>
  <c r="I44" i="3"/>
  <c r="J22" i="3"/>
  <c r="I22" i="3"/>
  <c r="J78" i="3"/>
  <c r="J72" i="3"/>
  <c r="J71" i="3"/>
  <c r="J68" i="3"/>
  <c r="J50" i="3"/>
  <c r="J42" i="3"/>
  <c r="J37" i="3"/>
  <c r="I37" i="3"/>
  <c r="J32" i="3"/>
  <c r="J20" i="3"/>
  <c r="J13" i="3"/>
  <c r="J11" i="3"/>
  <c r="J88" i="3"/>
  <c r="I88" i="3"/>
  <c r="J87" i="3"/>
  <c r="I87" i="3"/>
  <c r="J79" i="3"/>
  <c r="I79" i="3"/>
  <c r="J62" i="3"/>
  <c r="I62" i="3"/>
  <c r="J59" i="3"/>
  <c r="J58" i="3"/>
  <c r="I58" i="3"/>
  <c r="J55" i="3"/>
  <c r="I55" i="3"/>
  <c r="J45" i="3"/>
  <c r="I45" i="3"/>
  <c r="J43" i="3"/>
  <c r="I43" i="3"/>
  <c r="J39" i="3"/>
  <c r="I39" i="3"/>
  <c r="J29" i="3"/>
  <c r="I29" i="3"/>
  <c r="J18" i="3"/>
  <c r="I18" i="3"/>
  <c r="J10" i="3"/>
  <c r="J77" i="3"/>
  <c r="J75" i="3"/>
  <c r="J69" i="3"/>
  <c r="I69" i="3"/>
  <c r="J67" i="3"/>
  <c r="I67" i="3"/>
  <c r="J61" i="3"/>
  <c r="J52" i="3"/>
  <c r="J46" i="3"/>
  <c r="J41" i="3"/>
  <c r="I41" i="3"/>
  <c r="J40" i="3"/>
  <c r="I40" i="3"/>
  <c r="J38" i="3"/>
  <c r="J35" i="3"/>
  <c r="J31" i="3"/>
  <c r="J24" i="3"/>
  <c r="I24" i="3"/>
  <c r="J19" i="3"/>
  <c r="J12" i="3"/>
  <c r="K21" i="3"/>
  <c r="K35" i="3"/>
  <c r="B94" i="3"/>
  <c r="B93" i="3"/>
  <c r="B95" i="3" s="1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2" i="3"/>
  <c r="K83" i="3"/>
  <c r="K84" i="3"/>
  <c r="K85" i="3"/>
  <c r="K86" i="3"/>
  <c r="K87" i="3"/>
  <c r="K88" i="3"/>
  <c r="K89" i="3"/>
  <c r="K90" i="3"/>
  <c r="K12" i="3" l="1"/>
  <c r="J92" i="3" l="1"/>
  <c r="H59" i="3"/>
  <c r="I92" i="3" l="1"/>
  <c r="K92" i="3" l="1"/>
</calcChain>
</file>

<file path=xl/sharedStrings.xml><?xml version="1.0" encoding="utf-8"?>
<sst xmlns="http://schemas.openxmlformats.org/spreadsheetml/2006/main" count="432" uniqueCount="167">
  <si>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</si>
  <si>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</si>
  <si>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</si>
  <si>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</si>
  <si>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</si>
  <si>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</si>
  <si>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</si>
  <si>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</si>
  <si>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</si>
  <si>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</si>
  <si>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</si>
  <si>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</si>
  <si>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</si>
  <si>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</si>
  <si>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</si>
  <si>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</si>
  <si>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</si>
  <si>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</si>
  <si>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</si>
  <si>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</si>
  <si>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</si>
  <si>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</si>
  <si>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</si>
  <si>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</si>
  <si>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</si>
  <si>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</si>
  <si>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</si>
  <si>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</si>
  <si>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</si>
  <si>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</si>
  <si>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</si>
  <si>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</si>
  <si>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</si>
  <si>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</si>
  <si>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</si>
  <si>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</si>
  <si>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</si>
  <si>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</si>
  <si>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</si>
  <si>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</si>
  <si>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</si>
  <si>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</si>
  <si>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</si>
  <si>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</si>
  <si>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</si>
  <si>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</si>
  <si>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</si>
  <si>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</si>
  <si>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</si>
  <si>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</si>
  <si>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</si>
  <si>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</si>
  <si>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</si>
  <si>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</si>
  <si>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</si>
  <si>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</si>
  <si>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</si>
  <si>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</si>
  <si>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</si>
  <si>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</si>
  <si>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</si>
  <si>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</si>
  <si>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</si>
  <si>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</si>
  <si>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</si>
  <si>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</si>
  <si>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</si>
  <si>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</si>
  <si>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</si>
  <si>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</si>
  <si>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</si>
  <si>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</si>
  <si>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</si>
  <si>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</si>
  <si>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</si>
  <si>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</si>
  <si>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</si>
  <si>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</si>
  <si>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</si>
  <si>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</si>
  <si>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</si>
  <si>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</si>
  <si>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</si>
  <si>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</si>
  <si>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</si>
  <si>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</si>
  <si>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</si>
  <si>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</si>
  <si>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</si>
  <si>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</si>
  <si>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</si>
  <si>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</si>
  <si>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</si>
  <si>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</si>
  <si>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</si>
  <si>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</si>
  <si>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</si>
  <si>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</si>
  <si>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</si>
  <si>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</si>
  <si>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</si>
  <si>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</si>
  <si>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</si>
  <si>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</si>
  <si>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</si>
  <si>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</si>
  <si>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</si>
  <si>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</si>
  <si>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</si>
  <si>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</si>
  <si>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</si>
  <si>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</si>
  <si>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</si>
  <si>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</si>
  <si>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</si>
  <si>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</si>
  <si>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</si>
  <si>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</si>
  <si>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</si>
  <si>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</si>
  <si>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</si>
  <si>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</si>
  <si>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</si>
  <si>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</si>
  <si>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</si>
  <si>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</si>
  <si>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</si>
  <si>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</si>
  <si>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</si>
  <si>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</si>
  <si>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</si>
  <si>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</si>
  <si>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</si>
  <si>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</si>
  <si>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</si>
  <si>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</si>
  <si>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</si>
  <si>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</si>
  <si>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</si>
  <si>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</si>
  <si>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</si>
  <si>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</si>
  <si>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</si>
  <si>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</si>
  <si>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</si>
  <si>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</si>
  <si>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</si>
  <si>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</si>
  <si>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</si>
  <si>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</si>
  <si>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</si>
  <si>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</si>
  <si>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</si>
  <si>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</si>
  <si>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</si>
  <si>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</si>
  <si>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</si>
  <si>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</si>
  <si>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</si>
  <si>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</si>
  <si>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</si>
  <si>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</si>
  <si>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</si>
  <si>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</si>
  <si>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Agosto</t>
  </si>
  <si>
    <t>Dimas Luppi Kubo</t>
  </si>
  <si>
    <t>Bianca dos Santos Gomes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</si>
</sst>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14" fontId="0" fillId="0" borderId="1" xfId="0" applyNumberForma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4"/>
  <sheetViews>
    <sheetView showGridLines="0" tabSelected="1" topLeftCell="B1" zoomScaleNormal="100" workbookViewId="0">
      <pane xSplit="2" ySplit="9" topLeftCell="D23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8" t="s">
        <v>139</v>
      </c>
      <c r="E2" s="48"/>
      <c r="F2" s="48"/>
      <c r="G2" s="36"/>
      <c r="H2" s="36"/>
      <c r="I2" s="36"/>
    </row>
    <row r="3" spans="2:11" ht="15" customHeight="1" x14ac:dyDescent="0.25">
      <c r="C3" s="36"/>
      <c r="D3" s="49" t="s">
        <v>140</v>
      </c>
      <c r="E3" s="49"/>
      <c r="F3" s="49"/>
      <c r="G3" s="36"/>
      <c r="H3" s="36"/>
      <c r="I3" s="36"/>
    </row>
    <row r="4" spans="2:11" ht="15" customHeight="1" x14ac:dyDescent="0.25">
      <c r="C4" s="36"/>
      <c r="D4" s="49" t="s">
        <v>147</v>
      </c>
      <c r="E4" s="49"/>
      <c r="F4" s="49"/>
      <c r="G4" s="36"/>
      <c r="H4" s="36"/>
      <c r="I4" s="36"/>
    </row>
    <row r="5" spans="2:11" ht="15" customHeight="1" x14ac:dyDescent="0.3">
      <c r="C5" s="36"/>
      <c r="D5" s="50" t="s">
        <v>146</v>
      </c>
      <c r="E5" s="50"/>
      <c r="F5" s="50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141</v>
      </c>
      <c r="E7" s="37" t="s">
        <v>164</v>
      </c>
      <c r="F7" s="37" t="s">
        <v>142</v>
      </c>
      <c r="G7" s="36"/>
      <c r="H7" s="36"/>
      <c r="I7" s="36"/>
    </row>
    <row r="8" spans="2:11" ht="15" customHeight="1" x14ac:dyDescent="0.25">
      <c r="E8" s="3"/>
      <c r="F8"/>
      <c r="G8"/>
      <c r="I8" s="51"/>
      <c r="J8" s="51"/>
      <c r="K8" s="51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137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75.97+342.37</f>
        <v>418.34000000000003</v>
      </c>
      <c r="K10" s="45">
        <f>Tabela4[[#This Row],[Rem. Bruta (2)]]-Tabela4[[#This Row],[Descontos]]</f>
        <v>3323.0699999999997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f>58.82+342.37</f>
        <v>401.19</v>
      </c>
      <c r="K11" s="45">
        <f>Tabela4[[#This Row],[Rem. Bruta (2)]]-Tabela4[[#This Row],[Descontos]]</f>
        <v>3340.22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3741.41</v>
      </c>
      <c r="J12" s="35">
        <f>75.97+342.37</f>
        <v>418.34000000000003</v>
      </c>
      <c r="K12" s="45">
        <f>Tabela4[[#This Row],[Rem. Bruta (2)]]-Tabela4[[#This Row],[Descontos]]</f>
        <v>3323.0699999999997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f>75.97+342.37</f>
        <v>418.34000000000003</v>
      </c>
      <c r="K13" s="45">
        <f>Tabela4[[#This Row],[Rem. Bruta (2)]]-Tabela4[[#This Row],[Descontos]]</f>
        <v>3323.0699999999997</v>
      </c>
    </row>
    <row r="14" spans="2:11" s="1" customFormat="1" x14ac:dyDescent="0.25">
      <c r="B14" s="29">
        <v>610</v>
      </c>
      <c r="C14" s="15" t="s">
        <v>162</v>
      </c>
      <c r="D14" s="16" t="s">
        <v>161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9095.42</v>
      </c>
      <c r="J14" s="35">
        <f>992.54+10+951.62+338.28</f>
        <v>2292.4399999999996</v>
      </c>
      <c r="K14" s="45">
        <f>Tabela4[[#This Row],[Rem. Bruta (2)]]-Tabela4[[#This Row],[Descontos]]</f>
        <v>6802.9800000000005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v>2786.55</v>
      </c>
      <c r="J15" s="35">
        <v>228.01</v>
      </c>
      <c r="K15" s="45">
        <f>Tabela4[[#This Row],[Rem. Bruta (2)]]-Tabela4[[#This Row],[Descontos]]</f>
        <v>2558.54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v>4655.97</v>
      </c>
      <c r="J16" s="35">
        <f>101.41+461.41</f>
        <v>562.82000000000005</v>
      </c>
      <c r="K16" s="45">
        <f>Tabela4[[#This Row],[Rem. Bruta (2)]]-Tabela4[[#This Row],[Descontos]]</f>
        <v>4093.15</v>
      </c>
    </row>
    <row r="17" spans="2:11" ht="15" customHeight="1" x14ac:dyDescent="0.25">
      <c r="B17" s="29">
        <v>405</v>
      </c>
      <c r="C17" s="9" t="s">
        <v>128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v>4655.97</v>
      </c>
      <c r="J17" s="35">
        <f>157.28+461.41</f>
        <v>618.69000000000005</v>
      </c>
      <c r="K17" s="45">
        <f>Tabela4[[#This Row],[Rem. Bruta (2)]]-Tabela4[[#This Row],[Descontos]]</f>
        <v>4037.28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f>3741.41+62.36</f>
        <v>3803.77</v>
      </c>
      <c r="J18" s="35">
        <f>75.97+342.37</f>
        <v>418.34000000000003</v>
      </c>
      <c r="K18" s="45">
        <f>Tabela4[[#This Row],[Rem. Bruta (2)]]-Tabela4[[#This Row],[Descontos]]</f>
        <v>3385.43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235.48+461.41</f>
        <v>696.89</v>
      </c>
      <c r="K20" s="45">
        <f>Tabela4[[#This Row],[Rem. Bruta (2)]]-Tabela4[[#This Row],[Descontos]]</f>
        <v>3959.0800000000004</v>
      </c>
    </row>
    <row r="21" spans="2:11" ht="15" customHeight="1" x14ac:dyDescent="0.25">
      <c r="B21" s="29">
        <v>626</v>
      </c>
      <c r="C21" s="6" t="s">
        <v>166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v>3242.56</v>
      </c>
      <c r="J21" s="35">
        <v>282.51</v>
      </c>
      <c r="K21" s="45">
        <f>Tabela4[[#This Row],[Rem. Bruta (2)]]-Tabela4[[#This Row],[Descontos]]</f>
        <v>2960.05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3741.41+561.21</f>
        <v>4302.62</v>
      </c>
      <c r="J22" s="35">
        <f>13.62+342.37</f>
        <v>355.99</v>
      </c>
      <c r="K22" s="45">
        <f>Tabela4[[#This Row],[Rem. Bruta (2)]]-Tabela4[[#This Row],[Descontos]]</f>
        <v>3946.63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f>8185.87+303.18+909.55+114.19</f>
        <v>9512.7899999999991</v>
      </c>
      <c r="J23" s="35">
        <f>252.05+10+114.19+951.62+180.54+160.08</f>
        <v>1668.48</v>
      </c>
      <c r="K23" s="45">
        <f>Tabela4[[#This Row],[Rem. Bruta (2)]]-Tabela4[[#This Row],[Descontos]]</f>
        <v>7844.3099999999995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f>6685.14+111.42</f>
        <v>6796.56</v>
      </c>
      <c r="J24" s="35">
        <f>581.6+745.5+38.8</f>
        <v>1365.8999999999999</v>
      </c>
      <c r="K24" s="45">
        <f>Tabela4[[#This Row],[Rem. Bruta (2)]]-Tabela4[[#This Row],[Descontos]]</f>
        <v>5430.6600000000008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v>4988.55</v>
      </c>
      <c r="J25" s="35">
        <f>289.98+507.98</f>
        <v>797.96</v>
      </c>
      <c r="K25" s="45">
        <f>Tabela4[[#This Row],[Rem. Bruta (2)]]-Tabela4[[#This Row],[Descontos]]</f>
        <v>4190.59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v>9095.42</v>
      </c>
      <c r="J26" s="35">
        <f>992.54+10+951.62+338.28</f>
        <v>2292.4399999999996</v>
      </c>
      <c r="K26" s="45">
        <f>Tabela4[[#This Row],[Rem. Bruta (2)]]-Tabela4[[#This Row],[Descontos]]</f>
        <v>6802.9800000000005</v>
      </c>
    </row>
    <row r="27" spans="2:11" ht="15" customHeight="1" x14ac:dyDescent="0.25">
      <c r="B27" s="29">
        <v>157</v>
      </c>
      <c r="C27" s="6" t="s">
        <v>86</v>
      </c>
      <c r="D27" s="9" t="s">
        <v>157</v>
      </c>
      <c r="E27" s="22" t="s">
        <v>10</v>
      </c>
      <c r="F27" s="5" t="s">
        <v>69</v>
      </c>
      <c r="G27" s="5" t="s">
        <v>12</v>
      </c>
      <c r="H27" s="20">
        <v>3741.41</v>
      </c>
      <c r="I27" s="20">
        <f>3117.84+623.57</f>
        <v>3741.4100000000003</v>
      </c>
      <c r="J27" s="35">
        <f>342.37+849.76</f>
        <v>1192.1300000000001</v>
      </c>
      <c r="K27" s="45">
        <f>Tabela4[[#This Row],[Rem. Bruta (2)]]-Tabela4[[#This Row],[Descontos]]</f>
        <v>2549.2800000000002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v>2494.2800000000002</v>
      </c>
      <c r="J28" s="35">
        <v>201.71</v>
      </c>
      <c r="K28" s="45">
        <f>Tabela4[[#This Row],[Rem. Bruta (2)]]-Tabela4[[#This Row],[Descontos]]</f>
        <v>2292.5700000000002</v>
      </c>
    </row>
    <row r="29" spans="2:11" ht="15" customHeight="1" x14ac:dyDescent="0.25">
      <c r="B29" s="29">
        <v>427</v>
      </c>
      <c r="C29" s="10" t="s">
        <v>129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f>3242.56+498.85+0.15</f>
        <v>3741.56</v>
      </c>
      <c r="J29" s="35">
        <f>75.97+342.39+224.48</f>
        <v>642.84</v>
      </c>
      <c r="K29" s="45">
        <f>Tabela4[[#This Row],[Rem. Bruta (2)]]-Tabela4[[#This Row],[Descontos]]</f>
        <v>3098.72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f>14666.32+488.88+1466.63</f>
        <v>16621.829999999998</v>
      </c>
      <c r="J30" s="35">
        <f>1569.69+27.5+951.62+1249.52</f>
        <v>3798.33</v>
      </c>
      <c r="K30" s="45">
        <f>Tabela4[[#This Row],[Rem. Bruta (2)]]-Tabela4[[#This Row],[Descontos]]</f>
        <v>12823.499999999998</v>
      </c>
    </row>
    <row r="31" spans="2:11" ht="15" customHeight="1" x14ac:dyDescent="0.25">
      <c r="B31" s="29">
        <v>24</v>
      </c>
      <c r="C31" s="9" t="s">
        <v>29</v>
      </c>
      <c r="D31" s="9" t="s">
        <v>126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v>10027.68</v>
      </c>
      <c r="J31" s="35">
        <f>1103.05+17.5+951.62+484.14</f>
        <v>2556.31</v>
      </c>
      <c r="K31" s="45">
        <f>Tabela4[[#This Row],[Rem. Bruta (2)]]-Tabela4[[#This Row],[Descontos]]</f>
        <v>7471.3700000000008</v>
      </c>
    </row>
    <row r="32" spans="2:11" ht="15" customHeight="1" x14ac:dyDescent="0.25">
      <c r="B32" s="29">
        <v>456</v>
      </c>
      <c r="C32" s="9" t="s">
        <v>130</v>
      </c>
      <c r="D32" s="9" t="s">
        <v>131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v>1920.58</v>
      </c>
      <c r="J32" s="35">
        <f>150.08+115.23</f>
        <v>265.31</v>
      </c>
      <c r="K32" s="45">
        <f>Tabela4[[#This Row],[Rem. Bruta (2)]]-Tabela4[[#This Row],[Descontos]]</f>
        <v>1655.27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v>3741.41</v>
      </c>
      <c r="J33" s="35">
        <f>75.97+342.37+224.48</f>
        <v>642.82000000000005</v>
      </c>
      <c r="K33" s="45">
        <f>Tabela4[[#This Row],[Rem. Bruta (2)]]-Tabela4[[#This Row],[Descontos]]</f>
        <v>3098.5899999999997</v>
      </c>
    </row>
    <row r="34" spans="2:11" ht="15" customHeight="1" x14ac:dyDescent="0.25">
      <c r="B34" s="29">
        <v>203</v>
      </c>
      <c r="C34" s="9" t="s">
        <v>105</v>
      </c>
      <c r="D34" s="9" t="s">
        <v>125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f>1920.58+576.17</f>
        <v>2496.75</v>
      </c>
      <c r="J34" s="35">
        <f>201.93</f>
        <v>201.93</v>
      </c>
      <c r="K34" s="45">
        <f>Tabela4[[#This Row],[Rem. Bruta (2)]]-Tabela4[[#This Row],[Descontos]]</f>
        <v>2294.8200000000002</v>
      </c>
    </row>
    <row r="35" spans="2:11" ht="15" customHeight="1" x14ac:dyDescent="0.25">
      <c r="B35" s="29">
        <v>625</v>
      </c>
      <c r="C35" s="9" t="s">
        <v>165</v>
      </c>
      <c r="D35" s="9" t="s">
        <v>154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v>4035.18</v>
      </c>
      <c r="J35" s="35">
        <f>377.62</f>
        <v>377.62</v>
      </c>
      <c r="K35" s="45">
        <f>Tabela4[[#This Row],[Rem. Bruta (2)]]-Tabela4[[#This Row],[Descontos]]</f>
        <v>3657.56</v>
      </c>
    </row>
    <row r="36" spans="2:11" ht="15" customHeight="1" x14ac:dyDescent="0.25">
      <c r="B36" s="29">
        <v>599</v>
      </c>
      <c r="C36" s="9" t="s">
        <v>155</v>
      </c>
      <c r="D36" s="9" t="s">
        <v>157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f>2618.99+1122.42</f>
        <v>3741.41</v>
      </c>
      <c r="J36" s="35">
        <f>75.97+342.37</f>
        <v>418.34000000000003</v>
      </c>
      <c r="K36" s="45">
        <f>Tabela4[[#This Row],[Rem. Bruta (2)]]-Tabela4[[#This Row],[Descontos]]</f>
        <v>3323.0699999999997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f>3741.41</f>
        <v>3741.41</v>
      </c>
      <c r="J37" s="35">
        <f>75.97+342.37+838.78</f>
        <v>1257.1199999999999</v>
      </c>
      <c r="K37" s="45">
        <f>Tabela4[[#This Row],[Rem. Bruta (2)]]-Tabela4[[#This Row],[Descontos]]</f>
        <v>2484.29</v>
      </c>
    </row>
    <row r="38" spans="2:11" ht="15" customHeight="1" x14ac:dyDescent="0.25">
      <c r="B38" s="29">
        <v>222</v>
      </c>
      <c r="C38" s="6" t="s">
        <v>116</v>
      </c>
      <c r="D38" s="6" t="s">
        <v>117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v>4988.55</v>
      </c>
      <c r="J38" s="35">
        <f>310.31+507.98</f>
        <v>818.29</v>
      </c>
      <c r="K38" s="45">
        <f>Tabela4[[#This Row],[Rem. Bruta (2)]]-Tabela4[[#This Row],[Descontos]]</f>
        <v>4170.26</v>
      </c>
    </row>
    <row r="39" spans="2:11" ht="15" customHeight="1" x14ac:dyDescent="0.25">
      <c r="B39" s="29">
        <v>77</v>
      </c>
      <c r="C39" s="6" t="s">
        <v>31</v>
      </c>
      <c r="D39" s="6" t="s">
        <v>88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2016.62+604.99</f>
        <v>2621.6099999999997</v>
      </c>
      <c r="J39" s="35">
        <f>213.17</f>
        <v>213.17</v>
      </c>
      <c r="K39" s="45">
        <f>Tabela4[[#This Row],[Rem. Bruta (2)]]-Tabela4[[#This Row],[Descontos]]</f>
        <v>2408.4399999999996</v>
      </c>
    </row>
    <row r="40" spans="2:11" ht="15" customHeight="1" x14ac:dyDescent="0.25">
      <c r="B40" s="29">
        <v>180</v>
      </c>
      <c r="C40" s="6" t="s">
        <v>97</v>
      </c>
      <c r="D40" s="6" t="s">
        <v>66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f>3616.69+0.04+0.1+0.02+0.02+0.07+41.6+124.72+0.19+0.74+416.02+0.92+0.22+0.39+1247.14</f>
        <v>5448.88</v>
      </c>
      <c r="J40" s="35">
        <f>26.72+12.48+7.49+327.42</f>
        <v>374.11</v>
      </c>
      <c r="K40" s="45">
        <f>Tabela4[[#This Row],[Rem. Bruta (2)]]-Tabela4[[#This Row],[Descontos]]</f>
        <v>5074.7700000000004</v>
      </c>
    </row>
    <row r="41" spans="2:11" ht="15" customHeight="1" x14ac:dyDescent="0.25">
      <c r="B41" s="29">
        <v>63</v>
      </c>
      <c r="C41" s="6" t="s">
        <v>32</v>
      </c>
      <c r="D41" s="11" t="s">
        <v>115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f>4655.97+0.31+1.23+207.45+0.77+0.19+0.32+620.8+370.4</f>
        <v>5857.44</v>
      </c>
      <c r="J41" s="35">
        <f>142.89+461.41</f>
        <v>604.29999999999995</v>
      </c>
      <c r="K41" s="45">
        <f>Tabela4[[#This Row],[Rem. Bruta (2)]]-Tabela4[[#This Row],[Descontos]]</f>
        <v>5253.1399999999994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v>3928.48</v>
      </c>
      <c r="J42" s="35">
        <f>104.03+364.82</f>
        <v>468.85</v>
      </c>
      <c r="K42" s="45">
        <f>Tabela4[[#This Row],[Rem. Bruta (2)]]-Tabela4[[#This Row],[Descontos]]</f>
        <v>3459.63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f>14666.32+244.44</f>
        <v>14910.76</v>
      </c>
      <c r="J43" s="35">
        <f>1613.3+27.5+951.62+1197.38</f>
        <v>3789.8</v>
      </c>
      <c r="K43" s="45">
        <f>Tabela4[[#This Row],[Rem. Bruta (2)]]-Tabela4[[#This Row],[Descontos]]</f>
        <v>11120.96</v>
      </c>
    </row>
    <row r="44" spans="2:11" ht="15" customHeight="1" x14ac:dyDescent="0.25">
      <c r="B44" s="29">
        <v>38</v>
      </c>
      <c r="C44" s="11" t="s">
        <v>35</v>
      </c>
      <c r="D44" s="11" t="s">
        <v>127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3928.45+277.8</f>
        <v>4206.25</v>
      </c>
      <c r="J44" s="35">
        <f>104.03+364.81</f>
        <v>468.84000000000003</v>
      </c>
      <c r="K44" s="45">
        <f>Tabela4[[#This Row],[Rem. Bruta (2)]]-Tabela4[[#This Row],[Descontos]]</f>
        <v>3737.41</v>
      </c>
    </row>
    <row r="45" spans="2:11" ht="15" customHeight="1" x14ac:dyDescent="0.25">
      <c r="B45" s="29">
        <v>134</v>
      </c>
      <c r="C45" s="11" t="s">
        <v>76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f>3741.41+62.36</f>
        <v>3803.77</v>
      </c>
      <c r="J45" s="35">
        <f>42.3+342.37</f>
        <v>384.67</v>
      </c>
      <c r="K45" s="45">
        <f>Tabela4[[#This Row],[Rem. Bruta (2)]]-Tabela4[[#This Row],[Descontos]]</f>
        <v>3419.1</v>
      </c>
    </row>
    <row r="46" spans="2:11" ht="15" customHeight="1" x14ac:dyDescent="0.25">
      <c r="B46" s="29">
        <v>97</v>
      </c>
      <c r="C46" s="11" t="s">
        <v>61</v>
      </c>
      <c r="D46" s="11" t="s">
        <v>109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v>3741.41</v>
      </c>
      <c r="J46" s="35">
        <f>342.37</f>
        <v>342.37</v>
      </c>
      <c r="K46" s="45">
        <f>Tabela4[[#This Row],[Rem. Bruta (2)]]-Tabela4[[#This Row],[Descontos]]</f>
        <v>3399.04</v>
      </c>
    </row>
    <row r="47" spans="2:11" ht="15" customHeight="1" x14ac:dyDescent="0.25">
      <c r="B47" s="29">
        <v>459</v>
      </c>
      <c r="C47" s="11" t="s">
        <v>132</v>
      </c>
      <c r="D47" s="11" t="s">
        <v>133</v>
      </c>
      <c r="E47" s="7" t="s">
        <v>10</v>
      </c>
      <c r="F47" s="5" t="s">
        <v>69</v>
      </c>
      <c r="G47" s="5" t="s">
        <v>12</v>
      </c>
      <c r="H47" s="20">
        <v>3741.41</v>
      </c>
      <c r="I47" s="20">
        <f>3367.27+374.14+0.61</f>
        <v>3742.02</v>
      </c>
      <c r="J47" s="35">
        <f>76.09+342.44</f>
        <v>418.53</v>
      </c>
      <c r="K47" s="45">
        <f>Tabela4[[#This Row],[Rem. Bruta (2)]]-Tabela4[[#This Row],[Descontos]]</f>
        <v>3323.49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f>5013.85+668.51</f>
        <v>5682.3600000000006</v>
      </c>
      <c r="J48" s="35">
        <f>203.2+511.52</f>
        <v>714.72</v>
      </c>
      <c r="K48" s="45">
        <f>Tabela4[[#This Row],[Rem. Bruta (2)]]-Tabela4[[#This Row],[Descontos]]</f>
        <v>4967.6400000000003</v>
      </c>
    </row>
    <row r="49" spans="2:11" ht="15" customHeight="1" x14ac:dyDescent="0.25">
      <c r="B49" s="29">
        <v>151</v>
      </c>
      <c r="C49" s="9" t="s">
        <v>85</v>
      </c>
      <c r="D49" s="9" t="s">
        <v>60</v>
      </c>
      <c r="E49" s="7" t="s">
        <v>10</v>
      </c>
      <c r="F49" s="5" t="s">
        <v>69</v>
      </c>
      <c r="G49" s="5" t="s">
        <v>12</v>
      </c>
      <c r="H49" s="20">
        <v>2979.46</v>
      </c>
      <c r="I49" s="20">
        <f>2681.51+297.95+1.37+804.45</f>
        <v>3785.2799999999997</v>
      </c>
      <c r="J49" s="35">
        <v>347.63</v>
      </c>
      <c r="K49" s="45">
        <f>Tabela4[[#This Row],[Rem. Bruta (2)]]-Tabela4[[#This Row],[Descontos]]</f>
        <v>3437.6499999999996</v>
      </c>
    </row>
    <row r="50" spans="2:11" ht="15" customHeight="1" x14ac:dyDescent="0.25">
      <c r="B50" s="29">
        <v>129</v>
      </c>
      <c r="C50" s="9" t="s">
        <v>74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v>3741.41</v>
      </c>
      <c r="J50" s="35">
        <f>75.97+342.37</f>
        <v>418.34000000000003</v>
      </c>
      <c r="K50" s="45">
        <f>Tabela4[[#This Row],[Rem. Bruta (2)]]-Tabela4[[#This Row],[Descontos]]</f>
        <v>3323.0699999999997</v>
      </c>
    </row>
    <row r="51" spans="2:11" ht="15" customHeight="1" x14ac:dyDescent="0.25">
      <c r="B51" s="29">
        <v>126</v>
      </c>
      <c r="C51" s="9" t="s">
        <v>72</v>
      </c>
      <c r="D51" s="9" t="s">
        <v>83</v>
      </c>
      <c r="E51" s="7" t="s">
        <v>24</v>
      </c>
      <c r="F51" s="5" t="s">
        <v>69</v>
      </c>
      <c r="G51" s="5" t="s">
        <v>12</v>
      </c>
      <c r="H51" s="20">
        <v>9095.42</v>
      </c>
      <c r="I51" s="20">
        <v>9095.42</v>
      </c>
      <c r="J51" s="35">
        <f>983.06+10+951.62+295.62+461.13</f>
        <v>2701.43</v>
      </c>
      <c r="K51" s="45">
        <f>Tabela4[[#This Row],[Rem. Bruta (2)]]-Tabela4[[#This Row],[Descontos]]</f>
        <v>6393.99</v>
      </c>
    </row>
    <row r="52" spans="2:11" ht="15" customHeight="1" x14ac:dyDescent="0.25">
      <c r="B52" s="29">
        <v>205</v>
      </c>
      <c r="C52" s="9" t="s">
        <v>106</v>
      </c>
      <c r="D52" s="9" t="s">
        <v>93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v>3741.41</v>
      </c>
      <c r="J52" s="35">
        <f>342.37</f>
        <v>342.37</v>
      </c>
      <c r="K52" s="45">
        <f>Tabela4[[#This Row],[Rem. Bruta (2)]]-Tabela4[[#This Row],[Descontos]]</f>
        <v>3399.04</v>
      </c>
    </row>
    <row r="53" spans="2:11" ht="15" customHeight="1" x14ac:dyDescent="0.25">
      <c r="B53" s="29">
        <v>27</v>
      </c>
      <c r="C53" s="11" t="s">
        <v>38</v>
      </c>
      <c r="D53" s="11" t="s">
        <v>103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4988.55+748.28</f>
        <v>5736.83</v>
      </c>
      <c r="J53" s="35">
        <f>187.59+507.98</f>
        <v>695.57</v>
      </c>
      <c r="K53" s="45">
        <f>Tabela4[[#This Row],[Rem. Bruta (2)]]-Tabela4[[#This Row],[Descontos]]</f>
        <v>5041.26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v>3741.41</v>
      </c>
      <c r="J54" s="35">
        <v>342.37</v>
      </c>
      <c r="K54" s="45">
        <f>Tabela4[[#This Row],[Rem. Bruta (2)]]-Tabela4[[#This Row],[Descontos]]</f>
        <v>3399.04</v>
      </c>
    </row>
    <row r="55" spans="2:11" ht="15" customHeight="1" x14ac:dyDescent="0.25">
      <c r="B55" s="29">
        <v>107</v>
      </c>
      <c r="C55" s="6" t="s">
        <v>65</v>
      </c>
      <c r="D55" s="6" t="s">
        <v>59</v>
      </c>
      <c r="E55" s="7" t="s">
        <v>10</v>
      </c>
      <c r="F55" s="8" t="s">
        <v>11</v>
      </c>
      <c r="G55" s="5" t="s">
        <v>12</v>
      </c>
      <c r="H55" s="20">
        <v>3741.41</v>
      </c>
      <c r="I55" s="20">
        <f>2244.85+3.97+16.22+505.58+1496.56</f>
        <v>4267.1799999999994</v>
      </c>
      <c r="J55" s="35">
        <f>159.23+68.49+179.26</f>
        <v>406.97999999999996</v>
      </c>
      <c r="K55" s="45">
        <f>Tabela4[[#This Row],[Rem. Bruta (2)]]-Tabela4[[#This Row],[Descontos]]</f>
        <v>3860.1999999999994</v>
      </c>
    </row>
    <row r="56" spans="2:11" ht="15" customHeight="1" x14ac:dyDescent="0.25">
      <c r="B56" s="29">
        <v>573</v>
      </c>
      <c r="C56" s="6" t="s">
        <v>152</v>
      </c>
      <c r="D56" s="6" t="s">
        <v>153</v>
      </c>
      <c r="E56" s="7" t="s">
        <v>24</v>
      </c>
      <c r="F56" s="8" t="s">
        <v>69</v>
      </c>
      <c r="G56" s="5" t="s">
        <v>12</v>
      </c>
      <c r="H56" s="20">
        <v>9095.42</v>
      </c>
      <c r="I56" s="20">
        <v>9095.42</v>
      </c>
      <c r="J56" s="35">
        <f>992.54+10+951.62+338.28</f>
        <v>2292.4399999999996</v>
      </c>
      <c r="K56" s="45">
        <f>Tabela4[[#This Row],[Rem. Bruta (2)]]-Tabela4[[#This Row],[Descontos]]</f>
        <v>6802.9800000000005</v>
      </c>
    </row>
    <row r="57" spans="2:11" ht="15" customHeight="1" x14ac:dyDescent="0.25">
      <c r="B57" s="29">
        <v>210</v>
      </c>
      <c r="C57" s="6" t="s">
        <v>108</v>
      </c>
      <c r="D57" s="9" t="s">
        <v>157</v>
      </c>
      <c r="E57" s="7" t="s">
        <v>122</v>
      </c>
      <c r="F57" s="8" t="s">
        <v>69</v>
      </c>
      <c r="G57" s="5" t="s">
        <v>12</v>
      </c>
      <c r="H57" s="20">
        <v>2806.07</v>
      </c>
      <c r="I57" s="20">
        <f>2525.47+0.36+0.88+0.22+0.54+2.57+94.58+280.6</f>
        <v>2905.22</v>
      </c>
      <c r="J57" s="35">
        <f>30.2+7.18+204.65+151.52</f>
        <v>393.55</v>
      </c>
      <c r="K57" s="45">
        <f>Tabela4[[#This Row],[Rem. Bruta (2)]]-Tabela4[[#This Row],[Descontos]]</f>
        <v>2511.6699999999996</v>
      </c>
    </row>
    <row r="58" spans="2:11" ht="15" customHeight="1" x14ac:dyDescent="0.25">
      <c r="B58" s="29">
        <v>139</v>
      </c>
      <c r="C58" s="6" t="s">
        <v>80</v>
      </c>
      <c r="D58" s="6" t="s">
        <v>19</v>
      </c>
      <c r="E58" s="7" t="s">
        <v>10</v>
      </c>
      <c r="F58" s="5" t="s">
        <v>11</v>
      </c>
      <c r="G58" s="5" t="s">
        <v>12</v>
      </c>
      <c r="H58" s="20">
        <v>3741.41</v>
      </c>
      <c r="I58" s="20">
        <f>3367.27+374.14+0.38</f>
        <v>3741.79</v>
      </c>
      <c r="J58" s="35">
        <f>75.97+342.41</f>
        <v>418.38</v>
      </c>
      <c r="K58" s="45">
        <f>Tabela4[[#This Row],[Rem. Bruta (2)]]-Tabela4[[#This Row],[Descontos]]</f>
        <v>3323.41</v>
      </c>
    </row>
    <row r="59" spans="2:11" ht="15" customHeight="1" x14ac:dyDescent="0.25">
      <c r="B59" s="29">
        <v>128</v>
      </c>
      <c r="C59" s="6" t="s">
        <v>73</v>
      </c>
      <c r="D59" s="10" t="s">
        <v>19</v>
      </c>
      <c r="E59" s="7" t="s">
        <v>10</v>
      </c>
      <c r="F59" s="5" t="s">
        <v>11</v>
      </c>
      <c r="G59" s="5" t="s">
        <v>12</v>
      </c>
      <c r="H59" s="20">
        <f>3367.27+374.14+2.05</f>
        <v>3743.46</v>
      </c>
      <c r="I59" s="20">
        <v>3741.41</v>
      </c>
      <c r="J59" s="35">
        <f>75.97+342.37</f>
        <v>418.34000000000003</v>
      </c>
      <c r="K59" s="45">
        <f>Tabela4[[#This Row],[Rem. Bruta (2)]]-Tabela4[[#This Row],[Descontos]]</f>
        <v>3323.0699999999997</v>
      </c>
    </row>
    <row r="60" spans="2:11" ht="15" customHeight="1" x14ac:dyDescent="0.25">
      <c r="B60" s="29">
        <v>343</v>
      </c>
      <c r="C60" s="6" t="s">
        <v>119</v>
      </c>
      <c r="D60" s="10" t="s">
        <v>118</v>
      </c>
      <c r="E60" s="7" t="s">
        <v>24</v>
      </c>
      <c r="F60" s="5" t="s">
        <v>69</v>
      </c>
      <c r="G60" s="5" t="s">
        <v>12</v>
      </c>
      <c r="H60" s="20">
        <v>9095.42</v>
      </c>
      <c r="I60" s="20">
        <v>9095.42</v>
      </c>
      <c r="J60" s="35">
        <f>992.54+10+951.62+338.28</f>
        <v>2292.4399999999996</v>
      </c>
      <c r="K60" s="45">
        <f>Tabela4[[#This Row],[Rem. Bruta (2)]]-Tabela4[[#This Row],[Descontos]]</f>
        <v>6802.9800000000005</v>
      </c>
    </row>
    <row r="61" spans="2:11" ht="15" customHeight="1" x14ac:dyDescent="0.25">
      <c r="B61" s="29">
        <v>47</v>
      </c>
      <c r="C61" s="9" t="s">
        <v>41</v>
      </c>
      <c r="D61" s="9" t="s">
        <v>79</v>
      </c>
      <c r="E61" s="7" t="s">
        <v>10</v>
      </c>
      <c r="F61" s="5" t="s">
        <v>15</v>
      </c>
      <c r="G61" s="5" t="s">
        <v>12</v>
      </c>
      <c r="H61" s="20">
        <v>3741.41</v>
      </c>
      <c r="I61" s="20">
        <v>3741.41</v>
      </c>
      <c r="J61" s="35">
        <f>76.13+342.37</f>
        <v>418.5</v>
      </c>
      <c r="K61" s="45">
        <f>Tabela4[[#This Row],[Rem. Bruta (2)]]-Tabela4[[#This Row],[Descontos]]</f>
        <v>3322.91</v>
      </c>
    </row>
    <row r="62" spans="2:11" ht="15" customHeight="1" x14ac:dyDescent="0.25">
      <c r="B62" s="29">
        <v>132</v>
      </c>
      <c r="C62" s="9" t="s">
        <v>77</v>
      </c>
      <c r="D62" s="10" t="s">
        <v>78</v>
      </c>
      <c r="E62" s="7" t="s">
        <v>10</v>
      </c>
      <c r="F62" s="21" t="s">
        <v>11</v>
      </c>
      <c r="G62" s="5" t="s">
        <v>12</v>
      </c>
      <c r="H62" s="20">
        <v>4655.97</v>
      </c>
      <c r="I62" s="20">
        <f>2483.18+2172.79+1.22</f>
        <v>4657.1899999999996</v>
      </c>
      <c r="J62" s="35">
        <f>235.48+461.59</f>
        <v>697.06999999999994</v>
      </c>
      <c r="K62" s="45">
        <f>Tabela4[[#This Row],[Rem. Bruta (2)]]-Tabela4[[#This Row],[Descontos]]</f>
        <v>3960.12</v>
      </c>
    </row>
    <row r="63" spans="2:11" ht="15" customHeight="1" x14ac:dyDescent="0.25">
      <c r="B63" s="29">
        <v>165</v>
      </c>
      <c r="C63" s="9" t="s">
        <v>90</v>
      </c>
      <c r="D63" s="10" t="s">
        <v>89</v>
      </c>
      <c r="E63" s="7" t="s">
        <v>10</v>
      </c>
      <c r="F63" s="21" t="s">
        <v>69</v>
      </c>
      <c r="G63" s="5" t="s">
        <v>12</v>
      </c>
      <c r="H63" s="20">
        <v>4655.97</v>
      </c>
      <c r="I63" s="20">
        <f>4190.37+310.4+0.18+0.09+0.39+51.89+155.2</f>
        <v>4708.5200000000004</v>
      </c>
      <c r="J63" s="35">
        <f>18.6+10.46+439.71+2.59</f>
        <v>471.35999999999996</v>
      </c>
      <c r="K63" s="45">
        <f>Tabela4[[#This Row],[Rem. Bruta (2)]]-Tabela4[[#This Row],[Descontos]]</f>
        <v>4237.1600000000008</v>
      </c>
    </row>
    <row r="64" spans="2:11" ht="15" customHeight="1" x14ac:dyDescent="0.25">
      <c r="B64" s="29">
        <v>25</v>
      </c>
      <c r="C64" s="10" t="s">
        <v>42</v>
      </c>
      <c r="D64" s="10" t="s">
        <v>39</v>
      </c>
      <c r="E64" s="7" t="s">
        <v>10</v>
      </c>
      <c r="F64" s="19" t="s">
        <v>21</v>
      </c>
      <c r="G64" s="5" t="s">
        <v>12</v>
      </c>
      <c r="H64" s="20">
        <v>4547.7</v>
      </c>
      <c r="I64" s="20">
        <v>4547.7</v>
      </c>
      <c r="J64" s="35">
        <f>211.12+446.26</f>
        <v>657.38</v>
      </c>
      <c r="K64" s="45">
        <f>Tabela4[[#This Row],[Rem. Bruta (2)]]-Tabela4[[#This Row],[Descontos]]</f>
        <v>3890.3199999999997</v>
      </c>
    </row>
    <row r="65" spans="2:11" ht="15" customHeight="1" x14ac:dyDescent="0.25">
      <c r="B65" s="29">
        <v>39</v>
      </c>
      <c r="C65" s="11" t="s">
        <v>43</v>
      </c>
      <c r="D65" s="11" t="s">
        <v>26</v>
      </c>
      <c r="E65" s="7" t="s">
        <v>10</v>
      </c>
      <c r="F65" s="19" t="s">
        <v>21</v>
      </c>
      <c r="G65" s="5" t="s">
        <v>12</v>
      </c>
      <c r="H65" s="20">
        <v>3928.48</v>
      </c>
      <c r="I65" s="20">
        <v>3928.48</v>
      </c>
      <c r="J65" s="35">
        <f>104.03+364.82</f>
        <v>468.85</v>
      </c>
      <c r="K65" s="45">
        <f>Tabela4[[#This Row],[Rem. Bruta (2)]]-Tabela4[[#This Row],[Descontos]]</f>
        <v>3459.63</v>
      </c>
    </row>
    <row r="66" spans="2:11" ht="15" customHeight="1" x14ac:dyDescent="0.25">
      <c r="B66" s="29">
        <v>190</v>
      </c>
      <c r="C66" s="11" t="s">
        <v>100</v>
      </c>
      <c r="D66" s="11" t="s">
        <v>101</v>
      </c>
      <c r="E66" s="7" t="s">
        <v>10</v>
      </c>
      <c r="F66" s="19" t="s">
        <v>69</v>
      </c>
      <c r="G66" s="5" t="s">
        <v>12</v>
      </c>
      <c r="H66" s="20">
        <v>3741.41</v>
      </c>
      <c r="I66" s="20">
        <f>3367.27+374.14+0.17</f>
        <v>3741.58</v>
      </c>
      <c r="J66" s="35">
        <f>342.39+224.48</f>
        <v>566.87</v>
      </c>
      <c r="K66" s="45">
        <f>Tabela4[[#This Row],[Rem. Bruta (2)]]-Tabela4[[#This Row],[Descontos]]</f>
        <v>3174.71</v>
      </c>
    </row>
    <row r="67" spans="2:11" ht="15" customHeight="1" x14ac:dyDescent="0.25">
      <c r="B67" s="29">
        <v>1</v>
      </c>
      <c r="C67" s="11" t="s">
        <v>44</v>
      </c>
      <c r="D67" s="11" t="s">
        <v>45</v>
      </c>
      <c r="E67" s="7" t="s">
        <v>24</v>
      </c>
      <c r="F67" s="5" t="s">
        <v>15</v>
      </c>
      <c r="G67" s="5" t="s">
        <v>12</v>
      </c>
      <c r="H67" s="20">
        <v>24786.799999999999</v>
      </c>
      <c r="I67" s="20">
        <f>24786.8</f>
        <v>24786.799999999999</v>
      </c>
      <c r="J67" s="35">
        <f>2710.81+951.62+2919.4+1642.48</f>
        <v>8224.31</v>
      </c>
      <c r="K67" s="45">
        <f>Tabela4[[#This Row],[Rem. Bruta (2)]]-Tabela4[[#This Row],[Descontos]]</f>
        <v>16562.489999999998</v>
      </c>
    </row>
    <row r="68" spans="2:11" ht="15" customHeight="1" x14ac:dyDescent="0.25">
      <c r="B68" s="29">
        <v>211</v>
      </c>
      <c r="C68" s="11" t="s">
        <v>107</v>
      </c>
      <c r="D68" s="11" t="s">
        <v>19</v>
      </c>
      <c r="E68" s="7" t="s">
        <v>10</v>
      </c>
      <c r="F68" s="5" t="s">
        <v>18</v>
      </c>
      <c r="G68" s="5" t="s">
        <v>12</v>
      </c>
      <c r="H68" s="20">
        <v>3741.41</v>
      </c>
      <c r="I68" s="20">
        <v>3741.41</v>
      </c>
      <c r="J68" s="35">
        <f>75.97+342.37</f>
        <v>418.34000000000003</v>
      </c>
      <c r="K68" s="45">
        <f>Tabela4[[#This Row],[Rem. Bruta (2)]]-Tabela4[[#This Row],[Descontos]]</f>
        <v>3323.0699999999997</v>
      </c>
    </row>
    <row r="69" spans="2:11" ht="15" customHeight="1" x14ac:dyDescent="0.25">
      <c r="B69" s="29">
        <v>5</v>
      </c>
      <c r="C69" s="6" t="s">
        <v>46</v>
      </c>
      <c r="D69" s="6" t="s">
        <v>47</v>
      </c>
      <c r="E69" s="7" t="s">
        <v>10</v>
      </c>
      <c r="F69" s="5" t="s">
        <v>15</v>
      </c>
      <c r="G69" s="5" t="s">
        <v>12</v>
      </c>
      <c r="H69" s="20">
        <v>7370.35</v>
      </c>
      <c r="I69" s="20">
        <f>7370.35+122.84</f>
        <v>7493.1900000000005</v>
      </c>
      <c r="J69" s="35">
        <f>696.37+841.43+86.08</f>
        <v>1623.8799999999999</v>
      </c>
      <c r="K69" s="45">
        <f>Tabela4[[#This Row],[Rem. Bruta (2)]]-Tabela4[[#This Row],[Descontos]]</f>
        <v>5869.31</v>
      </c>
    </row>
    <row r="70" spans="2:11" ht="15" customHeight="1" x14ac:dyDescent="0.25">
      <c r="B70" s="29">
        <v>202</v>
      </c>
      <c r="C70" s="6" t="s">
        <v>104</v>
      </c>
      <c r="D70" s="6" t="s">
        <v>101</v>
      </c>
      <c r="E70" s="7" t="s">
        <v>10</v>
      </c>
      <c r="F70" s="5" t="s">
        <v>69</v>
      </c>
      <c r="G70" s="5" t="s">
        <v>12</v>
      </c>
      <c r="H70" s="20">
        <v>3741.41</v>
      </c>
      <c r="I70" s="20">
        <v>3741.41</v>
      </c>
      <c r="J70" s="35">
        <f>75.97+342.37+224.48</f>
        <v>642.82000000000005</v>
      </c>
      <c r="K70" s="45">
        <f>Tabela4[[#This Row],[Rem. Bruta (2)]]-Tabela4[[#This Row],[Descontos]]</f>
        <v>3098.5899999999997</v>
      </c>
    </row>
    <row r="71" spans="2:11" ht="15" customHeight="1" x14ac:dyDescent="0.25">
      <c r="B71" s="29">
        <v>10</v>
      </c>
      <c r="C71" s="6" t="s">
        <v>48</v>
      </c>
      <c r="D71" s="6" t="s">
        <v>63</v>
      </c>
      <c r="E71" s="7" t="s">
        <v>24</v>
      </c>
      <c r="F71" s="5" t="s">
        <v>20</v>
      </c>
      <c r="G71" s="5" t="s">
        <v>12</v>
      </c>
      <c r="H71" s="20">
        <v>14666.32</v>
      </c>
      <c r="I71" s="20">
        <v>14666.32</v>
      </c>
      <c r="J71" s="35">
        <f>1613.3+27.5+951.62+1145.24</f>
        <v>3737.66</v>
      </c>
      <c r="K71" s="45">
        <f>Tabela4[[#This Row],[Rem. Bruta (2)]]-Tabela4[[#This Row],[Descontos]]</f>
        <v>10928.66</v>
      </c>
    </row>
    <row r="72" spans="2:11" ht="15" customHeight="1" x14ac:dyDescent="0.25">
      <c r="B72" s="29">
        <v>11</v>
      </c>
      <c r="C72" s="6" t="s">
        <v>49</v>
      </c>
      <c r="D72" s="6" t="s">
        <v>50</v>
      </c>
      <c r="E72" s="7" t="s">
        <v>10</v>
      </c>
      <c r="F72" s="5" t="s">
        <v>20</v>
      </c>
      <c r="G72" s="5" t="s">
        <v>12</v>
      </c>
      <c r="H72" s="20">
        <v>4655.97</v>
      </c>
      <c r="I72" s="20">
        <v>4655.97</v>
      </c>
      <c r="J72" s="35">
        <f>235.48+461.41</f>
        <v>696.89</v>
      </c>
      <c r="K72" s="45">
        <f>Tabela4[[#This Row],[Rem. Bruta (2)]]-Tabela4[[#This Row],[Descontos]]</f>
        <v>3959.0800000000004</v>
      </c>
    </row>
    <row r="73" spans="2:11" ht="15" customHeight="1" x14ac:dyDescent="0.25">
      <c r="B73" s="29">
        <v>370</v>
      </c>
      <c r="C73" s="10" t="s">
        <v>123</v>
      </c>
      <c r="D73" s="9" t="s">
        <v>124</v>
      </c>
      <c r="E73" s="7" t="s">
        <v>10</v>
      </c>
      <c r="F73" s="21" t="s">
        <v>15</v>
      </c>
      <c r="G73" s="5" t="s">
        <v>12</v>
      </c>
      <c r="H73" s="20">
        <v>2743.7</v>
      </c>
      <c r="I73" s="20">
        <v>2743.7</v>
      </c>
      <c r="J73" s="35">
        <v>224.16</v>
      </c>
      <c r="K73" s="45">
        <f>Tabela4[[#This Row],[Rem. Bruta (2)]]-Tabela4[[#This Row],[Descontos]]</f>
        <v>2519.54</v>
      </c>
    </row>
    <row r="74" spans="2:11" ht="15" customHeight="1" x14ac:dyDescent="0.25">
      <c r="B74" s="29">
        <v>9</v>
      </c>
      <c r="C74" s="6" t="s">
        <v>51</v>
      </c>
      <c r="D74" s="6" t="s">
        <v>78</v>
      </c>
      <c r="E74" s="7" t="s">
        <v>10</v>
      </c>
      <c r="F74" s="19" t="s">
        <v>21</v>
      </c>
      <c r="G74" s="5" t="s">
        <v>12</v>
      </c>
      <c r="H74" s="20">
        <v>4655.97</v>
      </c>
      <c r="I74" s="20">
        <v>4655.97</v>
      </c>
      <c r="J74" s="35">
        <f>225.63+461.41</f>
        <v>687.04</v>
      </c>
      <c r="K74" s="45">
        <f>Tabela4[[#This Row],[Rem. Bruta (2)]]-Tabela4[[#This Row],[Descontos]]</f>
        <v>3968.9300000000003</v>
      </c>
    </row>
    <row r="75" spans="2:11" ht="15" customHeight="1" x14ac:dyDescent="0.25">
      <c r="B75" s="29">
        <v>6</v>
      </c>
      <c r="C75" s="10" t="s">
        <v>52</v>
      </c>
      <c r="D75" s="10" t="s">
        <v>53</v>
      </c>
      <c r="E75" s="7" t="s">
        <v>24</v>
      </c>
      <c r="F75" s="5" t="s">
        <v>15</v>
      </c>
      <c r="G75" s="5" t="s">
        <v>12</v>
      </c>
      <c r="H75" s="20">
        <v>11055.52</v>
      </c>
      <c r="I75" s="20">
        <v>11055.52</v>
      </c>
      <c r="J75" s="35">
        <f>1216.11+17.5+951.62+653.73</f>
        <v>2838.96</v>
      </c>
      <c r="K75" s="45">
        <f>Tabela4[[#This Row],[Rem. Bruta (2)]]-Tabela4[[#This Row],[Descontos]]</f>
        <v>8216.5600000000013</v>
      </c>
    </row>
    <row r="76" spans="2:11" ht="15" customHeight="1" x14ac:dyDescent="0.25">
      <c r="B76" s="29">
        <v>509</v>
      </c>
      <c r="C76" s="10" t="s">
        <v>134</v>
      </c>
      <c r="D76" s="9" t="s">
        <v>157</v>
      </c>
      <c r="E76" s="7" t="s">
        <v>10</v>
      </c>
      <c r="F76" s="5" t="s">
        <v>69</v>
      </c>
      <c r="G76" s="5" t="s">
        <v>12</v>
      </c>
      <c r="H76" s="20">
        <v>3741.41</v>
      </c>
      <c r="I76" s="20">
        <f>3367.27+374.14</f>
        <v>3741.41</v>
      </c>
      <c r="J76" s="35">
        <f>75.97+342.37</f>
        <v>418.34000000000003</v>
      </c>
      <c r="K76" s="45">
        <f>Tabela4[[#This Row],[Rem. Bruta (2)]]-Tabela4[[#This Row],[Descontos]]</f>
        <v>3323.0699999999997</v>
      </c>
    </row>
    <row r="77" spans="2:11" ht="15" customHeight="1" x14ac:dyDescent="0.25">
      <c r="B77" s="29">
        <v>125</v>
      </c>
      <c r="C77" s="10" t="s">
        <v>70</v>
      </c>
      <c r="D77" s="10" t="s">
        <v>71</v>
      </c>
      <c r="E77" s="7" t="s">
        <v>24</v>
      </c>
      <c r="F77" s="5" t="s">
        <v>15</v>
      </c>
      <c r="G77" s="5" t="s">
        <v>12</v>
      </c>
      <c r="H77" s="20">
        <v>10027.68</v>
      </c>
      <c r="I77" s="20">
        <v>10027.68</v>
      </c>
      <c r="J77" s="35">
        <f>1103.04+17.5+951.62+379.87</f>
        <v>2452.0299999999997</v>
      </c>
      <c r="K77" s="45">
        <f>Tabela4[[#This Row],[Rem. Bruta (2)]]-Tabela4[[#This Row],[Descontos]]</f>
        <v>7575.6500000000005</v>
      </c>
    </row>
    <row r="78" spans="2:11" ht="15" customHeight="1" x14ac:dyDescent="0.25">
      <c r="B78" s="29">
        <v>96</v>
      </c>
      <c r="C78" s="10" t="s">
        <v>99</v>
      </c>
      <c r="D78" s="10" t="s">
        <v>19</v>
      </c>
      <c r="E78" s="7" t="s">
        <v>10</v>
      </c>
      <c r="F78" s="5" t="s">
        <v>18</v>
      </c>
      <c r="G78" s="5" t="s">
        <v>12</v>
      </c>
      <c r="H78" s="20">
        <v>3741.41</v>
      </c>
      <c r="I78" s="20">
        <v>3741.41</v>
      </c>
      <c r="J78" s="35">
        <f>75.97+342.37</f>
        <v>418.34000000000003</v>
      </c>
      <c r="K78" s="45">
        <f>Tabela4[[#This Row],[Rem. Bruta (2)]]-Tabela4[[#This Row],[Descontos]]</f>
        <v>3323.0699999999997</v>
      </c>
    </row>
    <row r="79" spans="2:11" ht="15" customHeight="1" x14ac:dyDescent="0.25">
      <c r="B79" s="29">
        <v>197</v>
      </c>
      <c r="C79" s="10" t="s">
        <v>102</v>
      </c>
      <c r="D79" s="10" t="s">
        <v>84</v>
      </c>
      <c r="E79" s="7" t="s">
        <v>10</v>
      </c>
      <c r="F79" s="5" t="s">
        <v>11</v>
      </c>
      <c r="G79" s="5" t="s">
        <v>12</v>
      </c>
      <c r="H79" s="20">
        <v>3741.41</v>
      </c>
      <c r="I79" s="20">
        <f>1995.42+82.24+320.08+716.1+1745.99</f>
        <v>4859.83</v>
      </c>
      <c r="J79" s="35">
        <f>244.33+88.82+156.81</f>
        <v>489.96</v>
      </c>
      <c r="K79" s="45">
        <f>Tabela4[[#This Row],[Rem. Bruta (2)]]-Tabela4[[#This Row],[Descontos]]</f>
        <v>4369.87</v>
      </c>
    </row>
    <row r="80" spans="2:11" ht="15" customHeight="1" x14ac:dyDescent="0.25">
      <c r="B80" s="29">
        <v>143</v>
      </c>
      <c r="C80" s="10" t="s">
        <v>81</v>
      </c>
      <c r="D80" s="9" t="s">
        <v>157</v>
      </c>
      <c r="E80" s="7" t="s">
        <v>10</v>
      </c>
      <c r="F80" s="5" t="s">
        <v>69</v>
      </c>
      <c r="G80" s="5" t="s">
        <v>12</v>
      </c>
      <c r="H80" s="20">
        <v>3741.41</v>
      </c>
      <c r="I80" s="20">
        <v>3741.41</v>
      </c>
      <c r="J80" s="35">
        <v>342.37</v>
      </c>
      <c r="K80" s="45">
        <f>Tabela4[[#This Row],[Rem. Bruta (2)]]-Tabela4[[#This Row],[Descontos]]</f>
        <v>3399.04</v>
      </c>
    </row>
    <row r="81" spans="2:11" ht="15" customHeight="1" x14ac:dyDescent="0.25">
      <c r="B81" s="29">
        <v>550</v>
      </c>
      <c r="C81" s="10" t="s">
        <v>136</v>
      </c>
      <c r="D81" s="9" t="s">
        <v>19</v>
      </c>
      <c r="E81" s="22" t="s">
        <v>10</v>
      </c>
      <c r="F81" s="21" t="s">
        <v>21</v>
      </c>
      <c r="G81" s="46">
        <v>45872</v>
      </c>
      <c r="H81" s="20">
        <v>3741.41</v>
      </c>
      <c r="I81" s="20">
        <f>374.14+15.56+31.12+2182.49+2.02+0.51+2494.27+2.02+0.51+832.27+62.36</f>
        <v>5997.2700000000013</v>
      </c>
      <c r="J81" s="35">
        <f>1870.71+31.56+173.88</f>
        <v>2076.15</v>
      </c>
      <c r="K81" s="45">
        <f>Tabela4[[#This Row],[Rem. Bruta (2)]]-Tabela4[[#This Row],[Descontos]]</f>
        <v>3921.1200000000013</v>
      </c>
    </row>
    <row r="82" spans="2:11" ht="15" customHeight="1" x14ac:dyDescent="0.25">
      <c r="B82" s="29">
        <v>3</v>
      </c>
      <c r="C82" s="10" t="s">
        <v>54</v>
      </c>
      <c r="D82" s="10" t="s">
        <v>28</v>
      </c>
      <c r="E82" s="18" t="s">
        <v>24</v>
      </c>
      <c r="F82" s="19" t="s">
        <v>21</v>
      </c>
      <c r="G82" s="5" t="s">
        <v>12</v>
      </c>
      <c r="H82" s="20">
        <v>16978.09</v>
      </c>
      <c r="I82" s="20">
        <v>16978.09</v>
      </c>
      <c r="J82" s="35">
        <f>1698.71+951.62+1630.96</f>
        <v>4281.29</v>
      </c>
      <c r="K82" s="45">
        <f>Tabela4[[#This Row],[Rem. Bruta (2)]]-Tabela4[[#This Row],[Descontos]]</f>
        <v>12696.8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v>4547.7</v>
      </c>
      <c r="J83" s="35">
        <f>11.05+446.26</f>
        <v>457.31</v>
      </c>
      <c r="K83" s="45">
        <f>Tabela4[[#This Row],[Rem. Bruta (2)]]-Tabela4[[#This Row],[Descontos]]</f>
        <v>4090.39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4547.7+303.18</f>
        <v>4850.88</v>
      </c>
      <c r="J84" s="35">
        <f>211.12+446.26</f>
        <v>657.38</v>
      </c>
      <c r="K84" s="45">
        <f>Tabela4[[#This Row],[Rem. Bruta (2)]]-Tabela4[[#This Row],[Descontos]]</f>
        <v>4193.5</v>
      </c>
    </row>
    <row r="85" spans="2:11" ht="15" customHeight="1" x14ac:dyDescent="0.25">
      <c r="B85" s="29">
        <v>600</v>
      </c>
      <c r="C85" s="11" t="s">
        <v>156</v>
      </c>
      <c r="D85" s="9" t="s">
        <v>157</v>
      </c>
      <c r="E85" s="7" t="s">
        <v>158</v>
      </c>
      <c r="F85" s="19" t="s">
        <v>69</v>
      </c>
      <c r="G85" s="5" t="s">
        <v>12</v>
      </c>
      <c r="H85" s="20">
        <v>3741.41</v>
      </c>
      <c r="I85" s="20">
        <f>2619+187.07+0.34</f>
        <v>2806.4100000000003</v>
      </c>
      <c r="J85" s="35">
        <v>230.17</v>
      </c>
      <c r="K85" s="45">
        <f>Tabela4[[#This Row],[Rem. Bruta (2)]]-Tabela4[[#This Row],[Descontos]]</f>
        <v>2576.2400000000002</v>
      </c>
    </row>
    <row r="86" spans="2:11" ht="15" customHeight="1" x14ac:dyDescent="0.25">
      <c r="B86" s="29">
        <v>18</v>
      </c>
      <c r="C86" s="9" t="s">
        <v>57</v>
      </c>
      <c r="D86" s="9" t="s">
        <v>78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v>4655.97</v>
      </c>
      <c r="J86" s="35">
        <f>73.48+461.41</f>
        <v>534.89</v>
      </c>
      <c r="K86" s="45">
        <f>Tabela4[[#This Row],[Rem. Bruta (2)]]-Tabela4[[#This Row],[Descontos]]</f>
        <v>4121.08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3284.86+985.46+54.75</f>
        <v>4325.07</v>
      </c>
      <c r="J87" s="35">
        <f>128.4+407.42</f>
        <v>535.82000000000005</v>
      </c>
      <c r="K87" s="45">
        <f>Tabela4[[#This Row],[Rem. Bruta (2)]]-Tabela4[[#This Row],[Descontos]]</f>
        <v>3789.2499999999995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f>2244.85+249.42+415.71+1247.14</f>
        <v>4157.12</v>
      </c>
      <c r="J88" s="35">
        <f>15.49+126.88+63.66+201.71</f>
        <v>407.74</v>
      </c>
      <c r="K88" s="45">
        <f>Tabela4[[#This Row],[Rem. Bruta (2)]]-Tabela4[[#This Row],[Descontos]]</f>
        <v>3749.38</v>
      </c>
    </row>
    <row r="89" spans="2:11" ht="15" customHeight="1" x14ac:dyDescent="0.25">
      <c r="B89" s="29">
        <v>532</v>
      </c>
      <c r="C89" s="10" t="s">
        <v>135</v>
      </c>
      <c r="D89" s="10" t="s">
        <v>110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3741.41</v>
      </c>
      <c r="J89" s="35">
        <f>75.97+342.37+224.48</f>
        <v>642.82000000000005</v>
      </c>
      <c r="K89" s="45">
        <f>Tabela4[[#This Row],[Rem. Bruta (2)]]-Tabela4[[#This Row],[Descontos]]</f>
        <v>3098.5899999999997</v>
      </c>
    </row>
    <row r="90" spans="2:11" ht="15" customHeight="1" x14ac:dyDescent="0.25">
      <c r="B90" s="30">
        <v>218</v>
      </c>
      <c r="C90" s="31" t="s">
        <v>113</v>
      </c>
      <c r="D90" s="9" t="s">
        <v>157</v>
      </c>
      <c r="E90" s="22" t="s">
        <v>122</v>
      </c>
      <c r="F90" s="32" t="s">
        <v>69</v>
      </c>
      <c r="G90" s="21" t="s">
        <v>12</v>
      </c>
      <c r="H90" s="34">
        <v>2806.07</v>
      </c>
      <c r="I90" s="20">
        <v>2806.07</v>
      </c>
      <c r="J90" s="20">
        <f>230.13+168.36</f>
        <v>398.49</v>
      </c>
      <c r="K90" s="45">
        <f>Tabela4[[#This Row],[Rem. Bruta (2)]]-Tabela4[[#This Row],[Descontos]]</f>
        <v>2407.58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v>79</v>
      </c>
      <c r="C92" s="40" t="s">
        <v>159</v>
      </c>
      <c r="D92" s="44" t="s">
        <v>150</v>
      </c>
      <c r="E92" s="44">
        <v>2</v>
      </c>
      <c r="H92" s="42" t="s">
        <v>138</v>
      </c>
      <c r="I92" s="43">
        <f>SUM(I10:I90)</f>
        <v>469110.71999999968</v>
      </c>
      <c r="J92" s="43">
        <f>SUM(J10:J90)</f>
        <v>87773.38</v>
      </c>
      <c r="K92" s="43">
        <f>SUM(K10:K90)</f>
        <v>381337.34000000014</v>
      </c>
    </row>
    <row r="93" spans="2:11" x14ac:dyDescent="0.25">
      <c r="B93" s="41">
        <f>E92</f>
        <v>2</v>
      </c>
      <c r="C93" s="40" t="s">
        <v>163</v>
      </c>
      <c r="D93" s="44" t="s">
        <v>151</v>
      </c>
      <c r="E93" s="44">
        <v>1</v>
      </c>
    </row>
    <row r="94" spans="2:11" x14ac:dyDescent="0.25">
      <c r="B94" s="41">
        <f>E93</f>
        <v>1</v>
      </c>
      <c r="C94" s="40" t="s">
        <v>144</v>
      </c>
      <c r="D94" s="44"/>
      <c r="E94" s="44"/>
    </row>
    <row r="95" spans="2:11" x14ac:dyDescent="0.25">
      <c r="B95" s="41">
        <f>B92+B93-B94</f>
        <v>80</v>
      </c>
      <c r="C95" s="40" t="s">
        <v>160</v>
      </c>
    </row>
    <row r="96" spans="2:11" s="3" customFormat="1" x14ac:dyDescent="0.25">
      <c r="B96" s="44" t="s">
        <v>149</v>
      </c>
      <c r="C96" s="2"/>
      <c r="F96" s="23"/>
      <c r="G96" s="23"/>
      <c r="H96" s="2"/>
      <c r="I96" s="12"/>
      <c r="J96" s="2"/>
      <c r="K96" s="13"/>
    </row>
    <row r="97" spans="1:12" x14ac:dyDescent="0.25">
      <c r="B97" s="47" t="s">
        <v>148</v>
      </c>
      <c r="C97" s="47"/>
      <c r="D97" s="47"/>
      <c r="E97" s="47"/>
      <c r="F97" s="47"/>
      <c r="G97" s="47"/>
      <c r="H97" s="47"/>
      <c r="I97" s="47"/>
      <c r="J97" s="47"/>
      <c r="K97" s="47"/>
    </row>
    <row r="98" spans="1:12" x14ac:dyDescent="0.25">
      <c r="B98" s="47" t="s">
        <v>143</v>
      </c>
      <c r="C98" s="47"/>
      <c r="D98" s="47"/>
      <c r="E98" s="47"/>
      <c r="F98" s="47"/>
      <c r="G98" s="47"/>
      <c r="H98" s="47"/>
      <c r="I98" s="47"/>
      <c r="J98" s="47"/>
      <c r="K98" s="47"/>
    </row>
    <row r="99" spans="1:12" x14ac:dyDescent="0.25">
      <c r="B99" s="47" t="s">
        <v>145</v>
      </c>
      <c r="C99" s="47"/>
      <c r="D99" s="47"/>
      <c r="E99" s="47"/>
      <c r="F99" s="47"/>
      <c r="G99" s="47"/>
      <c r="H99" s="47"/>
      <c r="I99" s="47"/>
      <c r="J99" s="47"/>
      <c r="K99" s="47"/>
    </row>
    <row r="103" spans="1:12" s="3" customFormat="1" x14ac:dyDescent="0.25">
      <c r="A103"/>
      <c r="B103" s="1"/>
      <c r="C103" s="4"/>
      <c r="D103"/>
      <c r="E103"/>
      <c r="F103" s="2"/>
      <c r="G103" s="2"/>
      <c r="H103" s="2"/>
      <c r="I103" s="2"/>
      <c r="J103" s="2"/>
      <c r="K103" s="2"/>
      <c r="L103"/>
    </row>
    <row r="104" spans="1:12" s="3" customFormat="1" x14ac:dyDescent="0.25">
      <c r="A104"/>
      <c r="B104" s="1"/>
      <c r="C104" s="4"/>
      <c r="D104"/>
      <c r="E104"/>
      <c r="F104" s="1"/>
      <c r="G104" s="1"/>
      <c r="H104" s="2"/>
      <c r="I104" s="12"/>
      <c r="J104" s="2"/>
      <c r="K104" s="2"/>
      <c r="L104"/>
    </row>
  </sheetData>
  <mergeCells count="8">
    <mergeCell ref="B97:K97"/>
    <mergeCell ref="B98:K98"/>
    <mergeCell ref="B99:K99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AGOSTO</vt:lpstr>
      <vt:lpstr>AGOSTO!Area_de_impressao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2025-09-16T14:13:39Z</dcterms:modified>
</cp:coreProperties>
</file>