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1840" windowHeight="13140"/>
  </bookViews>
  <sheets>
    <sheet name="SETEMBRO" sheetId="3" r:id="rId1"/>
  </sheets>
  <definedNames>
    <definedName name="_xlnm.Print_Area" localSheetId="0">SETEMBRO!$A$1:$K$100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5" i="3" l="1"/>
  <c r="B94" i="3"/>
  <c r="B93" i="3"/>
  <c r="B92" i="3" l="1"/>
  <c r="J75" i="3" l="1"/>
  <c r="J90" i="3"/>
  <c r="J89" i="3"/>
  <c r="J85" i="3"/>
  <c r="J81" i="3"/>
  <c r="J77" i="3"/>
  <c r="I77" i="3"/>
  <c r="J71" i="3"/>
  <c r="J70" i="3"/>
  <c r="J66" i="3"/>
  <c r="J63" i="3"/>
  <c r="J60" i="3"/>
  <c r="I60" i="3"/>
  <c r="J57" i="3"/>
  <c r="J56" i="3"/>
  <c r="J51" i="3"/>
  <c r="I51" i="3"/>
  <c r="J49" i="3"/>
  <c r="I49" i="3"/>
  <c r="J47" i="3"/>
  <c r="I47" i="3"/>
  <c r="J36" i="3"/>
  <c r="I34" i="3"/>
  <c r="J33" i="3"/>
  <c r="J30" i="3"/>
  <c r="I27" i="3"/>
  <c r="J27" i="3"/>
  <c r="I26" i="3"/>
  <c r="J26" i="3"/>
  <c r="J25" i="3"/>
  <c r="I25" i="3"/>
  <c r="J23" i="3"/>
  <c r="J17" i="3"/>
  <c r="I17" i="3"/>
  <c r="J16" i="3"/>
  <c r="I16" i="3"/>
  <c r="J14" i="3"/>
  <c r="J86" i="3"/>
  <c r="J84" i="3"/>
  <c r="J83" i="3"/>
  <c r="I83" i="3"/>
  <c r="J82" i="3"/>
  <c r="I75" i="3"/>
  <c r="J65" i="3"/>
  <c r="I65" i="3"/>
  <c r="J64" i="3"/>
  <c r="J53" i="3"/>
  <c r="I53" i="3"/>
  <c r="J48" i="3"/>
  <c r="I48" i="3"/>
  <c r="J44" i="3"/>
  <c r="I44" i="3"/>
  <c r="J22" i="3"/>
  <c r="I22" i="3"/>
  <c r="J21" i="3"/>
  <c r="I21" i="3"/>
  <c r="J79" i="3"/>
  <c r="I79" i="3"/>
  <c r="J73" i="3"/>
  <c r="J72" i="3"/>
  <c r="I72" i="3"/>
  <c r="J68" i="3"/>
  <c r="J54" i="3"/>
  <c r="J50" i="3"/>
  <c r="J42" i="3"/>
  <c r="I37" i="3"/>
  <c r="J37" i="3"/>
  <c r="J32" i="3"/>
  <c r="J20" i="3"/>
  <c r="J15" i="3"/>
  <c r="I15" i="3"/>
  <c r="J13" i="3"/>
  <c r="J11" i="3"/>
  <c r="I88" i="3"/>
  <c r="J87" i="3"/>
  <c r="I87" i="3"/>
  <c r="J80" i="3"/>
  <c r="I80" i="3"/>
  <c r="J62" i="3"/>
  <c r="I62" i="3"/>
  <c r="J59" i="3"/>
  <c r="I59" i="3"/>
  <c r="J58" i="3"/>
  <c r="I58" i="3"/>
  <c r="J55" i="3"/>
  <c r="J45" i="3"/>
  <c r="J43" i="3"/>
  <c r="I39" i="3"/>
  <c r="J29" i="3"/>
  <c r="J18" i="3"/>
  <c r="J10" i="3"/>
  <c r="J78" i="3"/>
  <c r="J76" i="3"/>
  <c r="I76" i="3"/>
  <c r="J74" i="3"/>
  <c r="I74" i="3"/>
  <c r="J69" i="3"/>
  <c r="J67" i="3"/>
  <c r="J61" i="3"/>
  <c r="I61" i="3"/>
  <c r="J52" i="3"/>
  <c r="J46" i="3"/>
  <c r="J41" i="3"/>
  <c r="I41" i="3"/>
  <c r="J40" i="3"/>
  <c r="J38" i="3"/>
  <c r="I38" i="3"/>
  <c r="J35" i="3"/>
  <c r="J31" i="3"/>
  <c r="I31" i="3"/>
  <c r="J24" i="3"/>
  <c r="J19" i="3"/>
  <c r="J12" i="3"/>
  <c r="I19" i="3"/>
  <c r="I12" i="3"/>
  <c r="K70" i="3"/>
  <c r="K21" i="3" l="1"/>
  <c r="K35" i="3"/>
  <c r="K11" i="3" l="1"/>
  <c r="K10" i="3"/>
  <c r="K13" i="3"/>
  <c r="K14" i="3"/>
  <c r="K15" i="3"/>
  <c r="K16" i="3"/>
  <c r="K17" i="3"/>
  <c r="K18" i="3"/>
  <c r="K19" i="3"/>
  <c r="K20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12" i="3" l="1"/>
  <c r="J92" i="3" l="1"/>
  <c r="H59" i="3"/>
  <c r="I92" i="3" l="1"/>
  <c r="K92" i="3" l="1"/>
</calcChain>
</file>

<file path=xl/sharedStrings.xml><?xml version="1.0" encoding="utf-8"?>
<sst xmlns="http://schemas.openxmlformats.org/spreadsheetml/2006/main" count="433" uniqueCount="167">
  <si>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</si>
  <si>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</si>
  <si>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</si>
  <si>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</si>
  <si>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</si>
  <si>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</si>
  <si>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</si>
  <si>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</si>
  <si>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</si>
  <si>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</si>
  <si>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</si>
  <si>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</si>
  <si>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</si>
  <si>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</si>
  <si>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</si>
  <si>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</si>
  <si>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</si>
  <si>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</si>
  <si>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</si>
  <si>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</si>
  <si>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</si>
  <si>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</si>
  <si>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</si>
  <si>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</si>
  <si>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</si>
  <si>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</si>
  <si>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</si>
  <si>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</si>
  <si>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</si>
  <si>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</si>
  <si>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</si>
  <si>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</si>
  <si>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</si>
  <si>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</si>
  <si>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</si>
  <si>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</si>
  <si>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</si>
  <si>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</si>
  <si>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</si>
  <si>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</si>
  <si>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</si>
  <si>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</si>
  <si>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</si>
  <si>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</si>
  <si>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</si>
  <si>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</si>
  <si>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</si>
  <si>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</si>
  <si>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</si>
  <si>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</si>
  <si>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</si>
  <si>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</si>
  <si>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</si>
  <si>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</si>
  <si>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</si>
  <si>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</si>
  <si>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</si>
  <si>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</si>
  <si>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</si>
  <si>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</si>
  <si>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</si>
  <si>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</si>
  <si>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</si>
  <si>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</si>
  <si>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</si>
  <si>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</si>
  <si>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</si>
  <si>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</si>
  <si>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</si>
  <si>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</si>
  <si>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</si>
  <si>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</si>
  <si>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</si>
  <si>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</si>
  <si>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</si>
  <si>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</si>
  <si>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</si>
  <si>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</si>
  <si>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</si>
  <si>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</si>
  <si>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</si>
  <si>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</si>
  <si>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</si>
  <si>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</si>
  <si>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</si>
  <si>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</si>
  <si>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</si>
  <si>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</si>
  <si>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</si>
  <si>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</si>
  <si>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</si>
  <si>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</si>
  <si>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</si>
  <si>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</si>
  <si>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</si>
  <si>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</si>
  <si>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</si>
  <si>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</si>
  <si>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</si>
  <si>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</si>
  <si>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</si>
  <si>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</si>
  <si>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</si>
  <si>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</si>
  <si>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</si>
  <si>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</si>
  <si>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</si>
  <si>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</si>
  <si>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</si>
  <si>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</si>
  <si>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</si>
  <si>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</si>
  <si>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</si>
  <si>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</si>
  <si>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</si>
  <si>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</si>
  <si>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</si>
  <si>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</si>
  <si>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</si>
  <si>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</si>
  <si>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</si>
  <si>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</si>
  <si>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30 horas semanais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</si>
  <si>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</si>
  <si>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</si>
  <si>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</si>
  <si>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</si>
  <si>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</si>
  <si>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</si>
  <si>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</si>
  <si>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</si>
  <si>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</si>
  <si>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</si>
  <si>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</si>
  <si>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</si>
  <si>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</si>
  <si>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</si>
  <si>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</si>
  <si>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</si>
  <si>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</si>
  <si>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</si>
  <si>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</si>
  <si>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</si>
  <si>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</si>
  <si>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</si>
  <si>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</si>
  <si>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</si>
  <si>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</si>
  <si>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</si>
  <si>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</si>
  <si>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</si>
  <si>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</si>
  <si>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</si>
  <si>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</si>
  <si>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</si>
  <si>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</si>
  <si>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</si>
  <si>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 xml:space="preserve">30 horas semanais 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</si>
  <si>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</si>
  <si>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</si>
  <si>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</si>
  <si>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</si>
  <si>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</si>
  <si>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</si>
  <si>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</si>
  <si>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Setembro</t>
  </si>
  <si>
    <t>Marcus Vinicius Bernardino de Souza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</si>
</sst>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left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0" totalsRowShown="0" headerRowDxfId="13" headerRowBorderDxfId="12" tableBorderDxfId="11" totalsRowBorderDxfId="10">
  <autoFilter ref="B9:K90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2"/>
  <sheetViews>
    <sheetView showGridLines="0" tabSelected="1" topLeftCell="B1" zoomScaleNormal="10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7" t="s">
        <v>138</v>
      </c>
      <c r="E2" s="47"/>
      <c r="F2" s="47"/>
      <c r="G2" s="36"/>
      <c r="H2" s="36"/>
      <c r="I2" s="36"/>
    </row>
    <row r="3" spans="2:11" ht="15" customHeight="1" x14ac:dyDescent="0.25">
      <c r="C3" s="36"/>
      <c r="D3" s="48" t="s">
        <v>139</v>
      </c>
      <c r="E3" s="48"/>
      <c r="F3" s="48"/>
      <c r="G3" s="36"/>
      <c r="H3" s="36"/>
      <c r="I3" s="36"/>
    </row>
    <row r="4" spans="2:11" ht="15" customHeight="1" x14ac:dyDescent="0.25">
      <c r="C4" s="36"/>
      <c r="D4" s="48" t="s">
        <v>146</v>
      </c>
      <c r="E4" s="48"/>
      <c r="F4" s="48"/>
      <c r="G4" s="36"/>
      <c r="H4" s="36"/>
      <c r="I4" s="36"/>
    </row>
    <row r="5" spans="2:11" ht="15" customHeight="1" x14ac:dyDescent="0.3">
      <c r="C5" s="36"/>
      <c r="D5" s="49" t="s">
        <v>145</v>
      </c>
      <c r="E5" s="49"/>
      <c r="F5" s="49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140</v>
      </c>
      <c r="E7" s="37" t="s">
        <v>165</v>
      </c>
      <c r="F7" s="37" t="s">
        <v>141</v>
      </c>
      <c r="G7" s="36"/>
      <c r="H7" s="36"/>
      <c r="I7" s="36"/>
    </row>
    <row r="8" spans="2:11" ht="15" customHeight="1" x14ac:dyDescent="0.25">
      <c r="E8" s="3"/>
      <c r="F8"/>
      <c r="G8"/>
      <c r="I8" s="46"/>
      <c r="J8" s="46"/>
      <c r="K8" s="46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136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3741.41</v>
      </c>
      <c r="J10" s="35">
        <f>75.97+342.37</f>
        <v>418.34000000000003</v>
      </c>
      <c r="K10" s="45">
        <f>Tabela4[[#This Row],[Rem. Bruta (2)]]-Tabela4[[#This Row],[Descontos]]</f>
        <v>3323.0699999999997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3741.41</v>
      </c>
      <c r="J11" s="35">
        <f>58.82+342.37</f>
        <v>401.19</v>
      </c>
      <c r="K11" s="45">
        <f>Tabela4[[#This Row],[Rem. Bruta (2)]]-Tabela4[[#This Row],[Descontos]]</f>
        <v>3340.22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f>3741.41</f>
        <v>3741.41</v>
      </c>
      <c r="J12" s="35">
        <f>75.97+342.37</f>
        <v>418.34000000000003</v>
      </c>
      <c r="K12" s="45">
        <f>Tabela4[[#This Row],[Rem. Bruta (2)]]-Tabela4[[#This Row],[Descontos]]</f>
        <v>3323.0699999999997</v>
      </c>
    </row>
    <row r="13" spans="2:11" s="1" customFormat="1" x14ac:dyDescent="0.25">
      <c r="B13" s="29">
        <v>221</v>
      </c>
      <c r="C13" s="15" t="s">
        <v>114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v>3741.41</v>
      </c>
      <c r="J13" s="35">
        <f>75.97+342.37</f>
        <v>418.34000000000003</v>
      </c>
      <c r="K13" s="45">
        <f>Tabela4[[#This Row],[Rem. Bruta (2)]]-Tabela4[[#This Row],[Descontos]]</f>
        <v>3323.0699999999997</v>
      </c>
    </row>
    <row r="14" spans="2:11" s="1" customFormat="1" x14ac:dyDescent="0.25">
      <c r="B14" s="29">
        <v>610</v>
      </c>
      <c r="C14" s="15" t="s">
        <v>161</v>
      </c>
      <c r="D14" s="16" t="s">
        <v>160</v>
      </c>
      <c r="E14" s="5" t="s">
        <v>24</v>
      </c>
      <c r="F14" s="5" t="s">
        <v>69</v>
      </c>
      <c r="G14" s="17" t="s">
        <v>12</v>
      </c>
      <c r="H14" s="14">
        <v>9095.42</v>
      </c>
      <c r="I14" s="14">
        <v>9095.42</v>
      </c>
      <c r="J14" s="35">
        <f>992.54+10+951.62+338.28</f>
        <v>2292.4399999999996</v>
      </c>
      <c r="K14" s="45">
        <f>Tabela4[[#This Row],[Rem. Bruta (2)]]-Tabela4[[#This Row],[Descontos]]</f>
        <v>6802.9800000000005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f>2600.78+0.44+1.84+62.68+185.77</f>
        <v>2851.51</v>
      </c>
      <c r="J15" s="35">
        <f>18.8+5.48+211.3</f>
        <v>235.58</v>
      </c>
      <c r="K15" s="45">
        <f>Tabela4[[#This Row],[Rem. Bruta (2)]]-Tabela4[[#This Row],[Descontos]]</f>
        <v>2615.9300000000003</v>
      </c>
    </row>
    <row r="16" spans="2:11" ht="15" customHeight="1" x14ac:dyDescent="0.25">
      <c r="B16" s="29">
        <v>166</v>
      </c>
      <c r="C16" s="6" t="s">
        <v>92</v>
      </c>
      <c r="D16" s="6" t="s">
        <v>89</v>
      </c>
      <c r="E16" s="7" t="s">
        <v>10</v>
      </c>
      <c r="F16" s="5" t="s">
        <v>69</v>
      </c>
      <c r="G16" s="5" t="s">
        <v>12</v>
      </c>
      <c r="H16" s="20">
        <v>4655.97</v>
      </c>
      <c r="I16" s="20">
        <f>3879.97+0.05+0.22+258.76+776</f>
        <v>4915</v>
      </c>
      <c r="J16" s="35">
        <f>166.6+77.62+61.06+359</f>
        <v>664.28</v>
      </c>
      <c r="K16" s="45">
        <f>Tabela4[[#This Row],[Rem. Bruta (2)]]-Tabela4[[#This Row],[Descontos]]</f>
        <v>4250.72</v>
      </c>
    </row>
    <row r="17" spans="2:11" ht="15" customHeight="1" x14ac:dyDescent="0.25">
      <c r="B17" s="29">
        <v>405</v>
      </c>
      <c r="C17" s="9" t="s">
        <v>128</v>
      </c>
      <c r="D17" s="9" t="s">
        <v>50</v>
      </c>
      <c r="E17" s="7" t="s">
        <v>14</v>
      </c>
      <c r="F17" s="5" t="s">
        <v>69</v>
      </c>
      <c r="G17" s="5" t="s">
        <v>12</v>
      </c>
      <c r="H17" s="20">
        <v>4655.97</v>
      </c>
      <c r="I17" s="20">
        <f>4190.37+465.6+0.92+233.3</f>
        <v>4890.1900000000005</v>
      </c>
      <c r="J17" s="35">
        <f>235.48+461.54</f>
        <v>697.02</v>
      </c>
      <c r="K17" s="45">
        <f>Tabela4[[#This Row],[Rem. Bruta (2)]]-Tabela4[[#This Row],[Descontos]]</f>
        <v>4193.17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v>3741.41</v>
      </c>
      <c r="J18" s="35">
        <f>75.97+342.37</f>
        <v>418.34000000000003</v>
      </c>
      <c r="K18" s="45">
        <f>Tabela4[[#This Row],[Rem. Bruta (2)]]-Tabela4[[#This Row],[Descontos]]</f>
        <v>3323.0699999999997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f>24786.8</f>
        <v>24786.799999999999</v>
      </c>
      <c r="J19" s="35">
        <f>2726.54+951.62+2919.4</f>
        <v>6597.5599999999995</v>
      </c>
      <c r="K19" s="45">
        <f>Tabela4[[#This Row],[Rem. Bruta (2)]]-Tabela4[[#This Row],[Descontos]]</f>
        <v>18189.239999999998</v>
      </c>
    </row>
    <row r="20" spans="2:11" ht="15" customHeight="1" x14ac:dyDescent="0.25">
      <c r="B20" s="29">
        <v>215</v>
      </c>
      <c r="C20" s="6" t="s">
        <v>111</v>
      </c>
      <c r="D20" s="6" t="s">
        <v>110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v>4655.97</v>
      </c>
      <c r="J20" s="35">
        <f>235.48+461.41</f>
        <v>696.89</v>
      </c>
      <c r="K20" s="45">
        <f>Tabela4[[#This Row],[Rem. Bruta (2)]]-Tabela4[[#This Row],[Descontos]]</f>
        <v>3959.0800000000004</v>
      </c>
    </row>
    <row r="21" spans="2:11" ht="15" customHeight="1" x14ac:dyDescent="0.25">
      <c r="B21" s="29">
        <v>626</v>
      </c>
      <c r="C21" s="6" t="s">
        <v>164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f>3741.41+75.8</f>
        <v>3817.21</v>
      </c>
      <c r="J21" s="35">
        <f>31.08+342.37</f>
        <v>373.45</v>
      </c>
      <c r="K21" s="45">
        <f>Tabela4[[#This Row],[Rem. Bruta (2)]]-Tabela4[[#This Row],[Descontos]]</f>
        <v>3443.76</v>
      </c>
    </row>
    <row r="22" spans="2:11" ht="15" customHeight="1" x14ac:dyDescent="0.25">
      <c r="B22" s="29">
        <v>219</v>
      </c>
      <c r="C22" s="6" t="s">
        <v>112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f>3741.41+124.71</f>
        <v>3866.12</v>
      </c>
      <c r="J22" s="35">
        <f>75.97+342.37</f>
        <v>418.34000000000003</v>
      </c>
      <c r="K22" s="45">
        <f>Tabela4[[#This Row],[Rem. Bruta (2)]]-Tabela4[[#This Row],[Descontos]]</f>
        <v>3447.7799999999997</v>
      </c>
    </row>
    <row r="23" spans="2:11" ht="15" customHeight="1" x14ac:dyDescent="0.25">
      <c r="B23" s="29">
        <v>354</v>
      </c>
      <c r="C23" s="6" t="s">
        <v>120</v>
      </c>
      <c r="D23" s="10" t="s">
        <v>121</v>
      </c>
      <c r="E23" s="18" t="s">
        <v>24</v>
      </c>
      <c r="F23" s="5" t="s">
        <v>69</v>
      </c>
      <c r="G23" s="5" t="s">
        <v>12</v>
      </c>
      <c r="H23" s="20">
        <v>9095.42</v>
      </c>
      <c r="I23" s="20">
        <v>9095.42</v>
      </c>
      <c r="J23" s="35">
        <f>947.79+10+951.62+252.96</f>
        <v>2162.37</v>
      </c>
      <c r="K23" s="45">
        <f>Tabela4[[#This Row],[Rem. Bruta (2)]]-Tabela4[[#This Row],[Descontos]]</f>
        <v>6933.05</v>
      </c>
    </row>
    <row r="24" spans="2:11" ht="15" customHeight="1" x14ac:dyDescent="0.25">
      <c r="B24" s="29">
        <v>23</v>
      </c>
      <c r="C24" s="6" t="s">
        <v>25</v>
      </c>
      <c r="D24" s="6" t="s">
        <v>87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v>6685.14</v>
      </c>
      <c r="J24" s="35">
        <f>581.6+745.5+38.8</f>
        <v>1365.8999999999999</v>
      </c>
      <c r="K24" s="45">
        <f>Tabela4[[#This Row],[Rem. Bruta (2)]]-Tabela4[[#This Row],[Descontos]]</f>
        <v>5319.2400000000007</v>
      </c>
    </row>
    <row r="25" spans="2:11" ht="15" customHeight="1" x14ac:dyDescent="0.25">
      <c r="B25" s="29">
        <v>168</v>
      </c>
      <c r="C25" s="6" t="s">
        <v>94</v>
      </c>
      <c r="D25" s="6" t="s">
        <v>103</v>
      </c>
      <c r="E25" s="7" t="s">
        <v>10</v>
      </c>
      <c r="F25" s="5" t="s">
        <v>69</v>
      </c>
      <c r="G25" s="5" t="s">
        <v>12</v>
      </c>
      <c r="H25" s="20">
        <v>4988.55</v>
      </c>
      <c r="I25" s="20">
        <f>4988.55+249.33</f>
        <v>5237.88</v>
      </c>
      <c r="J25" s="35">
        <f>289.98+507.98</f>
        <v>797.96</v>
      </c>
      <c r="K25" s="45">
        <f>Tabela4[[#This Row],[Rem. Bruta (2)]]-Tabela4[[#This Row],[Descontos]]</f>
        <v>4439.92</v>
      </c>
    </row>
    <row r="26" spans="2:11" ht="15" customHeight="1" x14ac:dyDescent="0.25">
      <c r="B26" s="29">
        <v>170</v>
      </c>
      <c r="C26" s="6" t="s">
        <v>95</v>
      </c>
      <c r="D26" s="6" t="s">
        <v>98</v>
      </c>
      <c r="E26" s="22" t="s">
        <v>24</v>
      </c>
      <c r="F26" s="5" t="s">
        <v>69</v>
      </c>
      <c r="G26" s="5" t="s">
        <v>12</v>
      </c>
      <c r="H26" s="20">
        <v>9095.42</v>
      </c>
      <c r="I26" s="20">
        <f>7882.7+1212.72</f>
        <v>9095.42</v>
      </c>
      <c r="J26" s="35">
        <f>992.54+10+951.62+338.28+1375.29</f>
        <v>3667.7299999999996</v>
      </c>
      <c r="K26" s="45">
        <f>Tabela4[[#This Row],[Rem. Bruta (2)]]-Tabela4[[#This Row],[Descontos]]</f>
        <v>5427.6900000000005</v>
      </c>
    </row>
    <row r="27" spans="2:11" ht="15" customHeight="1" x14ac:dyDescent="0.25">
      <c r="B27" s="29">
        <v>157</v>
      </c>
      <c r="C27" s="6" t="s">
        <v>86</v>
      </c>
      <c r="D27" s="9" t="s">
        <v>156</v>
      </c>
      <c r="E27" s="22" t="s">
        <v>10</v>
      </c>
      <c r="F27" s="5" t="s">
        <v>69</v>
      </c>
      <c r="G27" s="5" t="s">
        <v>12</v>
      </c>
      <c r="H27" s="20">
        <v>3741.41</v>
      </c>
      <c r="I27" s="20">
        <f>2618.99+374.14+1122.42+198.53+264.7</f>
        <v>4578.7799999999988</v>
      </c>
      <c r="J27" s="35">
        <f>264.7+198.53+152.34+22+212.93+93.09+932.07+463.23+198.53</f>
        <v>2537.4200000000005</v>
      </c>
      <c r="K27" s="45">
        <f>Tabela4[[#This Row],[Rem. Bruta (2)]]-Tabela4[[#This Row],[Descontos]]</f>
        <v>2041.3599999999983</v>
      </c>
    </row>
    <row r="28" spans="2:11" ht="15" customHeight="1" x14ac:dyDescent="0.25">
      <c r="B28" s="29">
        <v>13</v>
      </c>
      <c r="C28" s="10" t="s">
        <v>27</v>
      </c>
      <c r="D28" s="10" t="s">
        <v>103</v>
      </c>
      <c r="E28" s="18" t="s">
        <v>17</v>
      </c>
      <c r="F28" s="5" t="s">
        <v>20</v>
      </c>
      <c r="G28" s="5" t="s">
        <v>12</v>
      </c>
      <c r="H28" s="20">
        <v>2494.2800000000002</v>
      </c>
      <c r="I28" s="20">
        <v>2494.2800000000002</v>
      </c>
      <c r="J28" s="35">
        <v>201.71</v>
      </c>
      <c r="K28" s="45">
        <f>Tabela4[[#This Row],[Rem. Bruta (2)]]-Tabela4[[#This Row],[Descontos]]</f>
        <v>2292.5700000000002</v>
      </c>
    </row>
    <row r="29" spans="2:11" ht="15" customHeight="1" x14ac:dyDescent="0.25">
      <c r="B29" s="29">
        <v>427</v>
      </c>
      <c r="C29" s="10" t="s">
        <v>129</v>
      </c>
      <c r="D29" s="10" t="s">
        <v>19</v>
      </c>
      <c r="E29" s="18" t="s">
        <v>10</v>
      </c>
      <c r="F29" s="5" t="s">
        <v>11</v>
      </c>
      <c r="G29" s="5" t="s">
        <v>12</v>
      </c>
      <c r="H29" s="20">
        <v>3741.41</v>
      </c>
      <c r="I29" s="20">
        <v>3741.41</v>
      </c>
      <c r="J29" s="35">
        <f>75.99+342.37+224.48</f>
        <v>642.84</v>
      </c>
      <c r="K29" s="45">
        <f>Tabela4[[#This Row],[Rem. Bruta (2)]]-Tabela4[[#This Row],[Descontos]]</f>
        <v>3098.5699999999997</v>
      </c>
    </row>
    <row r="30" spans="2:11" ht="15" customHeight="1" x14ac:dyDescent="0.25">
      <c r="B30" s="29">
        <v>119</v>
      </c>
      <c r="C30" s="10" t="s">
        <v>68</v>
      </c>
      <c r="D30" s="10" t="s">
        <v>63</v>
      </c>
      <c r="E30" s="18" t="s">
        <v>24</v>
      </c>
      <c r="F30" s="5" t="s">
        <v>69</v>
      </c>
      <c r="G30" s="5" t="s">
        <v>12</v>
      </c>
      <c r="H30" s="20">
        <v>14666.32</v>
      </c>
      <c r="I30" s="20">
        <v>14666.32</v>
      </c>
      <c r="J30" s="35">
        <f>1613.29+27.5+951.62+1249.52</f>
        <v>3841.93</v>
      </c>
      <c r="K30" s="45">
        <f>Tabela4[[#This Row],[Rem. Bruta (2)]]-Tabela4[[#This Row],[Descontos]]</f>
        <v>10824.39</v>
      </c>
    </row>
    <row r="31" spans="2:11" ht="15" customHeight="1" x14ac:dyDescent="0.25">
      <c r="B31" s="29">
        <v>24</v>
      </c>
      <c r="C31" s="9" t="s">
        <v>29</v>
      </c>
      <c r="D31" s="9" t="s">
        <v>126</v>
      </c>
      <c r="E31" s="7" t="s">
        <v>24</v>
      </c>
      <c r="F31" s="5" t="s">
        <v>15</v>
      </c>
      <c r="G31" s="5" t="s">
        <v>12</v>
      </c>
      <c r="H31" s="20">
        <v>10027.68</v>
      </c>
      <c r="I31" s="20">
        <f>10027.68+501.38</f>
        <v>10529.06</v>
      </c>
      <c r="J31" s="35">
        <f>1103.05+17.5+951.62+484.14</f>
        <v>2556.31</v>
      </c>
      <c r="K31" s="45">
        <f>Tabela4[[#This Row],[Rem. Bruta (2)]]-Tabela4[[#This Row],[Descontos]]</f>
        <v>7972.75</v>
      </c>
    </row>
    <row r="32" spans="2:11" ht="15" customHeight="1" x14ac:dyDescent="0.25">
      <c r="B32" s="29">
        <v>456</v>
      </c>
      <c r="C32" s="9" t="s">
        <v>130</v>
      </c>
      <c r="D32" s="9" t="s">
        <v>131</v>
      </c>
      <c r="E32" s="7" t="s">
        <v>14</v>
      </c>
      <c r="F32" s="5" t="s">
        <v>20</v>
      </c>
      <c r="G32" s="5" t="s">
        <v>12</v>
      </c>
      <c r="H32" s="20">
        <v>1920.58</v>
      </c>
      <c r="I32" s="20">
        <v>1920.58</v>
      </c>
      <c r="J32" s="35">
        <f>150.08+115.23</f>
        <v>265.31</v>
      </c>
      <c r="K32" s="45">
        <f>Tabela4[[#This Row],[Rem. Bruta (2)]]-Tabela4[[#This Row],[Descontos]]</f>
        <v>1655.27</v>
      </c>
    </row>
    <row r="33" spans="2:11" ht="15" customHeight="1" x14ac:dyDescent="0.25">
      <c r="B33" s="29">
        <v>150</v>
      </c>
      <c r="C33" s="9" t="s">
        <v>82</v>
      </c>
      <c r="D33" s="9" t="s">
        <v>9</v>
      </c>
      <c r="E33" s="7" t="s">
        <v>10</v>
      </c>
      <c r="F33" s="5" t="s">
        <v>69</v>
      </c>
      <c r="G33" s="5" t="s">
        <v>12</v>
      </c>
      <c r="H33" s="20">
        <v>3741.41</v>
      </c>
      <c r="I33" s="20">
        <v>3741.41</v>
      </c>
      <c r="J33" s="35">
        <f>75.97+342.37+224.48</f>
        <v>642.82000000000005</v>
      </c>
      <c r="K33" s="45">
        <f>Tabela4[[#This Row],[Rem. Bruta (2)]]-Tabela4[[#This Row],[Descontos]]</f>
        <v>3098.5899999999997</v>
      </c>
    </row>
    <row r="34" spans="2:11" ht="15" customHeight="1" x14ac:dyDescent="0.25">
      <c r="B34" s="29">
        <v>203</v>
      </c>
      <c r="C34" s="9" t="s">
        <v>105</v>
      </c>
      <c r="D34" s="9" t="s">
        <v>125</v>
      </c>
      <c r="E34" s="7" t="s">
        <v>10</v>
      </c>
      <c r="F34" s="5" t="s">
        <v>69</v>
      </c>
      <c r="G34" s="5" t="s">
        <v>12</v>
      </c>
      <c r="H34" s="20">
        <v>1920.58</v>
      </c>
      <c r="I34" s="20">
        <f>1920.58+576.17</f>
        <v>2496.75</v>
      </c>
      <c r="J34" s="35">
        <v>201.93</v>
      </c>
      <c r="K34" s="45">
        <f>Tabela4[[#This Row],[Rem. Bruta (2)]]-Tabela4[[#This Row],[Descontos]]</f>
        <v>2294.8200000000002</v>
      </c>
    </row>
    <row r="35" spans="2:11" ht="15" customHeight="1" x14ac:dyDescent="0.25">
      <c r="B35" s="29">
        <v>625</v>
      </c>
      <c r="C35" s="9" t="s">
        <v>163</v>
      </c>
      <c r="D35" s="9" t="s">
        <v>153</v>
      </c>
      <c r="E35" s="7" t="s">
        <v>10</v>
      </c>
      <c r="F35" s="5" t="s">
        <v>15</v>
      </c>
      <c r="G35" s="5" t="s">
        <v>12</v>
      </c>
      <c r="H35" s="20">
        <v>4655.9799999999996</v>
      </c>
      <c r="I35" s="20">
        <v>4655.9799999999996</v>
      </c>
      <c r="J35" s="35">
        <f>157.29+461.42</f>
        <v>618.71</v>
      </c>
      <c r="K35" s="45">
        <f>Tabela4[[#This Row],[Rem. Bruta (2)]]-Tabela4[[#This Row],[Descontos]]</f>
        <v>4037.2699999999995</v>
      </c>
    </row>
    <row r="36" spans="2:11" ht="15" customHeight="1" x14ac:dyDescent="0.25">
      <c r="B36" s="29">
        <v>599</v>
      </c>
      <c r="C36" s="9" t="s">
        <v>154</v>
      </c>
      <c r="D36" s="9" t="s">
        <v>156</v>
      </c>
      <c r="E36" s="7" t="s">
        <v>14</v>
      </c>
      <c r="F36" s="5" t="s">
        <v>69</v>
      </c>
      <c r="G36" s="5" t="s">
        <v>12</v>
      </c>
      <c r="H36" s="20">
        <v>3741.41</v>
      </c>
      <c r="I36" s="20">
        <v>3741.41</v>
      </c>
      <c r="J36" s="35">
        <f>75.97+342.37</f>
        <v>418.34000000000003</v>
      </c>
      <c r="K36" s="45">
        <f>Tabela4[[#This Row],[Rem. Bruta (2)]]-Tabela4[[#This Row],[Descontos]]</f>
        <v>3323.0699999999997</v>
      </c>
    </row>
    <row r="37" spans="2:11" ht="15" customHeight="1" x14ac:dyDescent="0.25">
      <c r="B37" s="29">
        <v>45</v>
      </c>
      <c r="C37" s="10" t="s">
        <v>30</v>
      </c>
      <c r="D37" s="10" t="s">
        <v>59</v>
      </c>
      <c r="E37" s="7" t="s">
        <v>10</v>
      </c>
      <c r="F37" s="5" t="s">
        <v>20</v>
      </c>
      <c r="G37" s="5" t="s">
        <v>12</v>
      </c>
      <c r="H37" s="20">
        <v>3741.41</v>
      </c>
      <c r="I37" s="20">
        <f>2618.99+251.63+17.94+71.77+404.04+1122.42</f>
        <v>4486.79</v>
      </c>
      <c r="J37" s="35">
        <f>19.23+251.63+145.94+43.63+212.93+54.37+587.15+251.63</f>
        <v>1566.5100000000002</v>
      </c>
      <c r="K37" s="45">
        <f>Tabela4[[#This Row],[Rem. Bruta (2)]]-Tabela4[[#This Row],[Descontos]]</f>
        <v>2920.2799999999997</v>
      </c>
    </row>
    <row r="38" spans="2:11" ht="15" customHeight="1" x14ac:dyDescent="0.25">
      <c r="B38" s="29">
        <v>222</v>
      </c>
      <c r="C38" s="6" t="s">
        <v>116</v>
      </c>
      <c r="D38" s="6" t="s">
        <v>117</v>
      </c>
      <c r="E38" s="7" t="s">
        <v>10</v>
      </c>
      <c r="F38" s="5" t="s">
        <v>15</v>
      </c>
      <c r="G38" s="5" t="s">
        <v>12</v>
      </c>
      <c r="H38" s="20">
        <v>4988.55</v>
      </c>
      <c r="I38" s="20">
        <f>3990.84+1.36+5.62+334.9+997.71</f>
        <v>5330.43</v>
      </c>
      <c r="J38" s="35">
        <f>220.52+100.46+83.08+372.3</f>
        <v>776.36</v>
      </c>
      <c r="K38" s="45">
        <f>Tabela4[[#This Row],[Rem. Bruta (2)]]-Tabela4[[#This Row],[Descontos]]</f>
        <v>4554.0700000000006</v>
      </c>
    </row>
    <row r="39" spans="2:11" ht="15" customHeight="1" x14ac:dyDescent="0.25">
      <c r="B39" s="29">
        <v>77</v>
      </c>
      <c r="C39" s="6" t="s">
        <v>31</v>
      </c>
      <c r="D39" s="6" t="s">
        <v>88</v>
      </c>
      <c r="E39" s="7" t="s">
        <v>10</v>
      </c>
      <c r="F39" s="5" t="s">
        <v>11</v>
      </c>
      <c r="G39" s="5" t="s">
        <v>12</v>
      </c>
      <c r="H39" s="20">
        <v>2016.62</v>
      </c>
      <c r="I39" s="20">
        <f>2016.62+604.99</f>
        <v>2621.6099999999997</v>
      </c>
      <c r="J39" s="35">
        <v>213.17</v>
      </c>
      <c r="K39" s="45">
        <f>Tabela4[[#This Row],[Rem. Bruta (2)]]-Tabela4[[#This Row],[Descontos]]</f>
        <v>2408.4399999999996</v>
      </c>
    </row>
    <row r="40" spans="2:11" ht="15" customHeight="1" x14ac:dyDescent="0.25">
      <c r="B40" s="29">
        <v>180</v>
      </c>
      <c r="C40" s="6" t="s">
        <v>97</v>
      </c>
      <c r="D40" s="6" t="s">
        <v>66</v>
      </c>
      <c r="E40" s="7" t="s">
        <v>10</v>
      </c>
      <c r="F40" s="5" t="s">
        <v>15</v>
      </c>
      <c r="G40" s="5" t="s">
        <v>12</v>
      </c>
      <c r="H40" s="20">
        <v>3741.41</v>
      </c>
      <c r="I40" s="20">
        <v>3741.41</v>
      </c>
      <c r="J40" s="35">
        <f>64.75+342.37</f>
        <v>407.12</v>
      </c>
      <c r="K40" s="45">
        <f>Tabela4[[#This Row],[Rem. Bruta (2)]]-Tabela4[[#This Row],[Descontos]]</f>
        <v>3334.29</v>
      </c>
    </row>
    <row r="41" spans="2:11" ht="15" customHeight="1" x14ac:dyDescent="0.25">
      <c r="B41" s="29">
        <v>63</v>
      </c>
      <c r="C41" s="6" t="s">
        <v>32</v>
      </c>
      <c r="D41" s="11" t="s">
        <v>115</v>
      </c>
      <c r="E41" s="7" t="s">
        <v>10</v>
      </c>
      <c r="F41" s="5" t="s">
        <v>15</v>
      </c>
      <c r="G41" s="5" t="s">
        <v>12</v>
      </c>
      <c r="H41" s="20">
        <v>4655.97</v>
      </c>
      <c r="I41" s="20">
        <f>4655.97+370.4</f>
        <v>5026.37</v>
      </c>
      <c r="J41" s="35">
        <f>225.63+461.41</f>
        <v>687.04</v>
      </c>
      <c r="K41" s="45">
        <f>Tabela4[[#This Row],[Rem. Bruta (2)]]-Tabela4[[#This Row],[Descontos]]</f>
        <v>4339.33</v>
      </c>
    </row>
    <row r="42" spans="2:11" ht="15" customHeight="1" x14ac:dyDescent="0.25">
      <c r="B42" s="29">
        <v>33</v>
      </c>
      <c r="C42" s="6" t="s">
        <v>33</v>
      </c>
      <c r="D42" s="6" t="s">
        <v>9</v>
      </c>
      <c r="E42" s="7" t="s">
        <v>10</v>
      </c>
      <c r="F42" s="5" t="s">
        <v>20</v>
      </c>
      <c r="G42" s="5" t="s">
        <v>12</v>
      </c>
      <c r="H42" s="20">
        <v>3928.48</v>
      </c>
      <c r="I42" s="20">
        <v>3928.48</v>
      </c>
      <c r="J42" s="35">
        <f>104.03+364.82</f>
        <v>468.85</v>
      </c>
      <c r="K42" s="45">
        <f>Tabela4[[#This Row],[Rem. Bruta (2)]]-Tabela4[[#This Row],[Descontos]]</f>
        <v>3459.63</v>
      </c>
    </row>
    <row r="43" spans="2:11" ht="15" customHeight="1" x14ac:dyDescent="0.25">
      <c r="B43" s="29">
        <v>28</v>
      </c>
      <c r="C43" s="11" t="s">
        <v>34</v>
      </c>
      <c r="D43" s="10" t="s">
        <v>63</v>
      </c>
      <c r="E43" s="18" t="s">
        <v>24</v>
      </c>
      <c r="F43" s="8" t="s">
        <v>11</v>
      </c>
      <c r="G43" s="5" t="s">
        <v>12</v>
      </c>
      <c r="H43" s="20">
        <v>14666.32</v>
      </c>
      <c r="I43" s="20">
        <v>14666.32</v>
      </c>
      <c r="J43" s="35">
        <f>1613.3+27.5+951.62+1197.38</f>
        <v>3789.8</v>
      </c>
      <c r="K43" s="45">
        <f>Tabela4[[#This Row],[Rem. Bruta (2)]]-Tabela4[[#This Row],[Descontos]]</f>
        <v>10876.52</v>
      </c>
    </row>
    <row r="44" spans="2:11" ht="15" customHeight="1" x14ac:dyDescent="0.25">
      <c r="B44" s="29">
        <v>38</v>
      </c>
      <c r="C44" s="11" t="s">
        <v>35</v>
      </c>
      <c r="D44" s="11" t="s">
        <v>127</v>
      </c>
      <c r="E44" s="7" t="s">
        <v>10</v>
      </c>
      <c r="F44" s="5" t="s">
        <v>21</v>
      </c>
      <c r="G44" s="5" t="s">
        <v>12</v>
      </c>
      <c r="H44" s="20">
        <v>3928.45</v>
      </c>
      <c r="I44" s="20">
        <f>2618.97+6.25+25.72+447.15+1309.48+277.8</f>
        <v>4685.37</v>
      </c>
      <c r="J44" s="35">
        <f>27.65+138.2+75.51+212.93</f>
        <v>454.29</v>
      </c>
      <c r="K44" s="45">
        <f>Tabela4[[#This Row],[Rem. Bruta (2)]]-Tabela4[[#This Row],[Descontos]]</f>
        <v>4231.08</v>
      </c>
    </row>
    <row r="45" spans="2:11" ht="15" customHeight="1" x14ac:dyDescent="0.25">
      <c r="B45" s="29">
        <v>134</v>
      </c>
      <c r="C45" s="11" t="s">
        <v>76</v>
      </c>
      <c r="D45" s="11" t="s">
        <v>19</v>
      </c>
      <c r="E45" s="7" t="s">
        <v>10</v>
      </c>
      <c r="F45" s="5" t="s">
        <v>11</v>
      </c>
      <c r="G45" s="5" t="s">
        <v>12</v>
      </c>
      <c r="H45" s="20">
        <v>3741.41</v>
      </c>
      <c r="I45" s="20">
        <v>3741.41</v>
      </c>
      <c r="J45" s="35">
        <f>75.97+342.37</f>
        <v>418.34000000000003</v>
      </c>
      <c r="K45" s="45">
        <f>Tabela4[[#This Row],[Rem. Bruta (2)]]-Tabela4[[#This Row],[Descontos]]</f>
        <v>3323.0699999999997</v>
      </c>
    </row>
    <row r="46" spans="2:11" ht="15" customHeight="1" x14ac:dyDescent="0.25">
      <c r="B46" s="29">
        <v>97</v>
      </c>
      <c r="C46" s="11" t="s">
        <v>61</v>
      </c>
      <c r="D46" s="11" t="s">
        <v>109</v>
      </c>
      <c r="E46" s="7" t="s">
        <v>10</v>
      </c>
      <c r="F46" s="5" t="s">
        <v>15</v>
      </c>
      <c r="G46" s="5" t="s">
        <v>12</v>
      </c>
      <c r="H46" s="20">
        <v>3741.41</v>
      </c>
      <c r="I46" s="20">
        <v>3741.41</v>
      </c>
      <c r="J46" s="35">
        <f>75.97+342.37</f>
        <v>418.34000000000003</v>
      </c>
      <c r="K46" s="45">
        <f>Tabela4[[#This Row],[Rem. Bruta (2)]]-Tabela4[[#This Row],[Descontos]]</f>
        <v>3323.0699999999997</v>
      </c>
    </row>
    <row r="47" spans="2:11" ht="15" customHeight="1" x14ac:dyDescent="0.25">
      <c r="B47" s="29">
        <v>459</v>
      </c>
      <c r="C47" s="11" t="s">
        <v>132</v>
      </c>
      <c r="D47" s="11" t="s">
        <v>133</v>
      </c>
      <c r="E47" s="7" t="s">
        <v>10</v>
      </c>
      <c r="F47" s="5" t="s">
        <v>69</v>
      </c>
      <c r="G47" s="5" t="s">
        <v>12</v>
      </c>
      <c r="H47" s="20">
        <v>3741.41</v>
      </c>
      <c r="I47" s="20">
        <f>1371.85+3.22+12.97+795.25+2369.56</f>
        <v>4552.8500000000004</v>
      </c>
      <c r="J47" s="35">
        <f>275.12+68.98+102.88+10.88</f>
        <v>457.86</v>
      </c>
      <c r="K47" s="45">
        <f>Tabela4[[#This Row],[Rem. Bruta (2)]]-Tabela4[[#This Row],[Descontos]]</f>
        <v>4094.9900000000002</v>
      </c>
    </row>
    <row r="48" spans="2:11" ht="15" customHeight="1" x14ac:dyDescent="0.25">
      <c r="B48" s="29">
        <v>19</v>
      </c>
      <c r="C48" s="9" t="s">
        <v>36</v>
      </c>
      <c r="D48" s="9" t="s">
        <v>37</v>
      </c>
      <c r="E48" s="7" t="s">
        <v>10</v>
      </c>
      <c r="F48" s="5" t="s">
        <v>21</v>
      </c>
      <c r="G48" s="5" t="s">
        <v>12</v>
      </c>
      <c r="H48" s="20">
        <v>5013.8500000000004</v>
      </c>
      <c r="I48" s="20">
        <f>5013.85+167.13</f>
        <v>5180.9800000000005</v>
      </c>
      <c r="J48" s="35">
        <f>316.01+511.52</f>
        <v>827.53</v>
      </c>
      <c r="K48" s="45">
        <f>Tabela4[[#This Row],[Rem. Bruta (2)]]-Tabela4[[#This Row],[Descontos]]</f>
        <v>4353.4500000000007</v>
      </c>
    </row>
    <row r="49" spans="2:11" ht="15" customHeight="1" x14ac:dyDescent="0.25">
      <c r="B49" s="29">
        <v>151</v>
      </c>
      <c r="C49" s="9" t="s">
        <v>85</v>
      </c>
      <c r="D49" s="9" t="s">
        <v>60</v>
      </c>
      <c r="E49" s="7" t="s">
        <v>10</v>
      </c>
      <c r="F49" s="5" t="s">
        <v>69</v>
      </c>
      <c r="G49" s="5" t="s">
        <v>12</v>
      </c>
      <c r="H49" s="20">
        <v>2979.46</v>
      </c>
      <c r="I49" s="20">
        <f>2979.46+893.84</f>
        <v>3873.3</v>
      </c>
      <c r="J49" s="35">
        <f>82.55+358.2</f>
        <v>440.75</v>
      </c>
      <c r="K49" s="45">
        <f>Tabela4[[#This Row],[Rem. Bruta (2)]]-Tabela4[[#This Row],[Descontos]]</f>
        <v>3432.55</v>
      </c>
    </row>
    <row r="50" spans="2:11" ht="15" customHeight="1" x14ac:dyDescent="0.25">
      <c r="B50" s="29">
        <v>129</v>
      </c>
      <c r="C50" s="9" t="s">
        <v>74</v>
      </c>
      <c r="D50" s="9" t="s">
        <v>19</v>
      </c>
      <c r="E50" s="7" t="s">
        <v>10</v>
      </c>
      <c r="F50" s="5" t="s">
        <v>18</v>
      </c>
      <c r="G50" s="5" t="s">
        <v>12</v>
      </c>
      <c r="H50" s="20">
        <v>3741.41</v>
      </c>
      <c r="I50" s="20">
        <v>3741.41</v>
      </c>
      <c r="J50" s="35">
        <f>75.97+342.37</f>
        <v>418.34000000000003</v>
      </c>
      <c r="K50" s="45">
        <f>Tabela4[[#This Row],[Rem. Bruta (2)]]-Tabela4[[#This Row],[Descontos]]</f>
        <v>3323.0699999999997</v>
      </c>
    </row>
    <row r="51" spans="2:11" ht="15" customHeight="1" x14ac:dyDescent="0.25">
      <c r="B51" s="29">
        <v>126</v>
      </c>
      <c r="C51" s="9" t="s">
        <v>72</v>
      </c>
      <c r="D51" s="9" t="s">
        <v>83</v>
      </c>
      <c r="E51" s="7" t="s">
        <v>24</v>
      </c>
      <c r="F51" s="5" t="s">
        <v>69</v>
      </c>
      <c r="G51" s="5" t="s">
        <v>12</v>
      </c>
      <c r="H51" s="20">
        <v>9095.42</v>
      </c>
      <c r="I51" s="20">
        <f>9095.42+277.8</f>
        <v>9373.2199999999993</v>
      </c>
      <c r="J51" s="35">
        <f>983.06+10+951.62+295.62+461.13</f>
        <v>2701.43</v>
      </c>
      <c r="K51" s="45">
        <f>Tabela4[[#This Row],[Rem. Bruta (2)]]-Tabela4[[#This Row],[Descontos]]</f>
        <v>6671.7899999999991</v>
      </c>
    </row>
    <row r="52" spans="2:11" ht="15" customHeight="1" x14ac:dyDescent="0.25">
      <c r="B52" s="29">
        <v>205</v>
      </c>
      <c r="C52" s="9" t="s">
        <v>106</v>
      </c>
      <c r="D52" s="9" t="s">
        <v>93</v>
      </c>
      <c r="E52" s="7" t="s">
        <v>10</v>
      </c>
      <c r="F52" s="5" t="s">
        <v>15</v>
      </c>
      <c r="G52" s="5" t="s">
        <v>12</v>
      </c>
      <c r="H52" s="20">
        <v>3741.41</v>
      </c>
      <c r="I52" s="20">
        <v>3741.41</v>
      </c>
      <c r="J52" s="35">
        <f>75.97+342.37</f>
        <v>418.34000000000003</v>
      </c>
      <c r="K52" s="45">
        <f>Tabela4[[#This Row],[Rem. Bruta (2)]]-Tabela4[[#This Row],[Descontos]]</f>
        <v>3323.0699999999997</v>
      </c>
    </row>
    <row r="53" spans="2:11" ht="15" customHeight="1" x14ac:dyDescent="0.25">
      <c r="B53" s="29">
        <v>27</v>
      </c>
      <c r="C53" s="11" t="s">
        <v>38</v>
      </c>
      <c r="D53" s="11" t="s">
        <v>103</v>
      </c>
      <c r="E53" s="7" t="s">
        <v>10</v>
      </c>
      <c r="F53" s="5" t="s">
        <v>21</v>
      </c>
      <c r="G53" s="5" t="s">
        <v>12</v>
      </c>
      <c r="H53" s="20">
        <v>4988.55</v>
      </c>
      <c r="I53" s="20">
        <f>4988.55+166.28</f>
        <v>5154.83</v>
      </c>
      <c r="J53" s="35">
        <f>289.98+507.98</f>
        <v>797.96</v>
      </c>
      <c r="K53" s="45">
        <f>Tabela4[[#This Row],[Rem. Bruta (2)]]-Tabela4[[#This Row],[Descontos]]</f>
        <v>4356.87</v>
      </c>
    </row>
    <row r="54" spans="2:11" ht="15" customHeight="1" x14ac:dyDescent="0.25">
      <c r="B54" s="29">
        <v>56</v>
      </c>
      <c r="C54" s="10" t="s">
        <v>62</v>
      </c>
      <c r="D54" s="10" t="s">
        <v>40</v>
      </c>
      <c r="E54" s="7" t="s">
        <v>10</v>
      </c>
      <c r="F54" s="5" t="s">
        <v>20</v>
      </c>
      <c r="G54" s="5" t="s">
        <v>12</v>
      </c>
      <c r="H54" s="20">
        <v>3741.41</v>
      </c>
      <c r="I54" s="20">
        <v>3741.41</v>
      </c>
      <c r="J54" s="35">
        <f>75.97+342.37</f>
        <v>418.34000000000003</v>
      </c>
      <c r="K54" s="45">
        <f>Tabela4[[#This Row],[Rem. Bruta (2)]]-Tabela4[[#This Row],[Descontos]]</f>
        <v>3323.0699999999997</v>
      </c>
    </row>
    <row r="55" spans="2:11" ht="15" customHeight="1" x14ac:dyDescent="0.25">
      <c r="B55" s="29">
        <v>107</v>
      </c>
      <c r="C55" s="6" t="s">
        <v>65</v>
      </c>
      <c r="D55" s="6" t="s">
        <v>59</v>
      </c>
      <c r="E55" s="7" t="s">
        <v>10</v>
      </c>
      <c r="F55" s="8" t="s">
        <v>11</v>
      </c>
      <c r="G55" s="5" t="s">
        <v>12</v>
      </c>
      <c r="H55" s="20">
        <v>3741.41</v>
      </c>
      <c r="I55" s="20">
        <v>3741.41</v>
      </c>
      <c r="J55" s="35">
        <f>342.37</f>
        <v>342.37</v>
      </c>
      <c r="K55" s="45">
        <f>Tabela4[[#This Row],[Rem. Bruta (2)]]-Tabela4[[#This Row],[Descontos]]</f>
        <v>3399.04</v>
      </c>
    </row>
    <row r="56" spans="2:11" ht="15" customHeight="1" x14ac:dyDescent="0.25">
      <c r="B56" s="29">
        <v>573</v>
      </c>
      <c r="C56" s="6" t="s">
        <v>151</v>
      </c>
      <c r="D56" s="6" t="s">
        <v>152</v>
      </c>
      <c r="E56" s="7" t="s">
        <v>24</v>
      </c>
      <c r="F56" s="8" t="s">
        <v>69</v>
      </c>
      <c r="G56" s="5" t="s">
        <v>12</v>
      </c>
      <c r="H56" s="20">
        <v>9095.42</v>
      </c>
      <c r="I56" s="20">
        <v>9095.42</v>
      </c>
      <c r="J56" s="35">
        <f>992.54+10+951.62+338.28</f>
        <v>2292.4399999999996</v>
      </c>
      <c r="K56" s="45">
        <f>Tabela4[[#This Row],[Rem. Bruta (2)]]-Tabela4[[#This Row],[Descontos]]</f>
        <v>6802.9800000000005</v>
      </c>
    </row>
    <row r="57" spans="2:11" ht="15" customHeight="1" x14ac:dyDescent="0.25">
      <c r="B57" s="29">
        <v>210</v>
      </c>
      <c r="C57" s="6" t="s">
        <v>108</v>
      </c>
      <c r="D57" s="9" t="s">
        <v>156</v>
      </c>
      <c r="E57" s="7" t="s">
        <v>122</v>
      </c>
      <c r="F57" s="8" t="s">
        <v>69</v>
      </c>
      <c r="G57" s="5" t="s">
        <v>12</v>
      </c>
      <c r="H57" s="20">
        <v>2806.07</v>
      </c>
      <c r="I57" s="20">
        <v>2806.07</v>
      </c>
      <c r="J57" s="35">
        <f>230.13+168.36</f>
        <v>398.49</v>
      </c>
      <c r="K57" s="45">
        <f>Tabela4[[#This Row],[Rem. Bruta (2)]]-Tabela4[[#This Row],[Descontos]]</f>
        <v>2407.58</v>
      </c>
    </row>
    <row r="58" spans="2:11" ht="15" customHeight="1" x14ac:dyDescent="0.25">
      <c r="B58" s="29">
        <v>139</v>
      </c>
      <c r="C58" s="6" t="s">
        <v>80</v>
      </c>
      <c r="D58" s="6" t="s">
        <v>19</v>
      </c>
      <c r="E58" s="7" t="s">
        <v>10</v>
      </c>
      <c r="F58" s="5" t="s">
        <v>11</v>
      </c>
      <c r="G58" s="5" t="s">
        <v>12</v>
      </c>
      <c r="H58" s="20">
        <v>3741.41</v>
      </c>
      <c r="I58" s="20">
        <f>1122.42+2.63+8.76+876.79+2618.99</f>
        <v>4629.59</v>
      </c>
      <c r="J58" s="35">
        <f>357.73+15.81+84.18+220.63</f>
        <v>678.35</v>
      </c>
      <c r="K58" s="45">
        <f>Tabela4[[#This Row],[Rem. Bruta (2)]]-Tabela4[[#This Row],[Descontos]]</f>
        <v>3951.2400000000002</v>
      </c>
    </row>
    <row r="59" spans="2:11" ht="15" customHeight="1" x14ac:dyDescent="0.25">
      <c r="B59" s="29">
        <v>128</v>
      </c>
      <c r="C59" s="6" t="s">
        <v>73</v>
      </c>
      <c r="D59" s="10" t="s">
        <v>19</v>
      </c>
      <c r="E59" s="7" t="s">
        <v>10</v>
      </c>
      <c r="F59" s="5" t="s">
        <v>11</v>
      </c>
      <c r="G59" s="5" t="s">
        <v>12</v>
      </c>
      <c r="H59" s="20">
        <f>3367.27+374.14+2.05</f>
        <v>3743.46</v>
      </c>
      <c r="I59" s="20">
        <f>3741.41+62.36</f>
        <v>3803.77</v>
      </c>
      <c r="J59" s="35">
        <f>75.97+342.37</f>
        <v>418.34000000000003</v>
      </c>
      <c r="K59" s="45">
        <f>Tabela4[[#This Row],[Rem. Bruta (2)]]-Tabela4[[#This Row],[Descontos]]</f>
        <v>3385.43</v>
      </c>
    </row>
    <row r="60" spans="2:11" ht="15" customHeight="1" x14ac:dyDescent="0.25">
      <c r="B60" s="29">
        <v>343</v>
      </c>
      <c r="C60" s="6" t="s">
        <v>119</v>
      </c>
      <c r="D60" s="10" t="s">
        <v>118</v>
      </c>
      <c r="E60" s="7" t="s">
        <v>24</v>
      </c>
      <c r="F60" s="5" t="s">
        <v>69</v>
      </c>
      <c r="G60" s="5" t="s">
        <v>12</v>
      </c>
      <c r="H60" s="20">
        <v>9095.42</v>
      </c>
      <c r="I60" s="20">
        <f>9095.42+454.77</f>
        <v>9550.19</v>
      </c>
      <c r="J60" s="35">
        <f>992.54+10+951.62+338.28</f>
        <v>2292.4399999999996</v>
      </c>
      <c r="K60" s="45">
        <f>Tabela4[[#This Row],[Rem. Bruta (2)]]-Tabela4[[#This Row],[Descontos]]</f>
        <v>7257.7500000000009</v>
      </c>
    </row>
    <row r="61" spans="2:11" ht="15" customHeight="1" x14ac:dyDescent="0.25">
      <c r="B61" s="29">
        <v>47</v>
      </c>
      <c r="C61" s="9" t="s">
        <v>41</v>
      </c>
      <c r="D61" s="9" t="s">
        <v>79</v>
      </c>
      <c r="E61" s="7" t="s">
        <v>10</v>
      </c>
      <c r="F61" s="5" t="s">
        <v>15</v>
      </c>
      <c r="G61" s="5" t="s">
        <v>12</v>
      </c>
      <c r="H61" s="20">
        <v>3741.41</v>
      </c>
      <c r="I61" s="20">
        <f>1870.7+5.17+23.77+633.22+1870.71+2.75+12.67+337.71+997.71</f>
        <v>5754.41</v>
      </c>
      <c r="J61" s="35">
        <f>205.18+75.31+145.59</f>
        <v>426.08000000000004</v>
      </c>
      <c r="K61" s="45">
        <f>Tabela4[[#This Row],[Rem. Bruta (2)]]-Tabela4[[#This Row],[Descontos]]</f>
        <v>5328.33</v>
      </c>
    </row>
    <row r="62" spans="2:11" ht="15" customHeight="1" x14ac:dyDescent="0.25">
      <c r="B62" s="29">
        <v>132</v>
      </c>
      <c r="C62" s="9" t="s">
        <v>77</v>
      </c>
      <c r="D62" s="10" t="s">
        <v>78</v>
      </c>
      <c r="E62" s="7" t="s">
        <v>10</v>
      </c>
      <c r="F62" s="21" t="s">
        <v>11</v>
      </c>
      <c r="G62" s="5" t="s">
        <v>12</v>
      </c>
      <c r="H62" s="20">
        <v>4655.97</v>
      </c>
      <c r="I62" s="20">
        <f>310.4+4190.37+155.2+337.8+2.36+0.09</f>
        <v>4996.2199999999993</v>
      </c>
      <c r="J62" s="35">
        <f>4192.73+23.28</f>
        <v>4216.0099999999993</v>
      </c>
      <c r="K62" s="45">
        <f>Tabela4[[#This Row],[Rem. Bruta (2)]]-Tabela4[[#This Row],[Descontos]]</f>
        <v>780.21</v>
      </c>
    </row>
    <row r="63" spans="2:11" ht="15" customHeight="1" x14ac:dyDescent="0.25">
      <c r="B63" s="29">
        <v>165</v>
      </c>
      <c r="C63" s="9" t="s">
        <v>90</v>
      </c>
      <c r="D63" s="10" t="s">
        <v>89</v>
      </c>
      <c r="E63" s="7" t="s">
        <v>10</v>
      </c>
      <c r="F63" s="21" t="s">
        <v>69</v>
      </c>
      <c r="G63" s="5" t="s">
        <v>12</v>
      </c>
      <c r="H63" s="20">
        <v>4655.97</v>
      </c>
      <c r="I63" s="20">
        <v>4655.97</v>
      </c>
      <c r="J63" s="35">
        <f>214.57+461.41</f>
        <v>675.98</v>
      </c>
      <c r="K63" s="45">
        <f>Tabela4[[#This Row],[Rem. Bruta (2)]]-Tabela4[[#This Row],[Descontos]]</f>
        <v>3979.9900000000002</v>
      </c>
    </row>
    <row r="64" spans="2:11" ht="15" customHeight="1" x14ac:dyDescent="0.25">
      <c r="B64" s="29">
        <v>25</v>
      </c>
      <c r="C64" s="10" t="s">
        <v>42</v>
      </c>
      <c r="D64" s="10" t="s">
        <v>39</v>
      </c>
      <c r="E64" s="7" t="s">
        <v>10</v>
      </c>
      <c r="F64" s="19" t="s">
        <v>21</v>
      </c>
      <c r="G64" s="5" t="s">
        <v>12</v>
      </c>
      <c r="H64" s="20">
        <v>4547.7</v>
      </c>
      <c r="I64" s="20">
        <v>4547.7</v>
      </c>
      <c r="J64" s="35">
        <f>211.12+446.26</f>
        <v>657.38</v>
      </c>
      <c r="K64" s="45">
        <f>Tabela4[[#This Row],[Rem. Bruta (2)]]-Tabela4[[#This Row],[Descontos]]</f>
        <v>3890.3199999999997</v>
      </c>
    </row>
    <row r="65" spans="2:11" ht="15" customHeight="1" x14ac:dyDescent="0.25">
      <c r="B65" s="29">
        <v>39</v>
      </c>
      <c r="C65" s="11" t="s">
        <v>43</v>
      </c>
      <c r="D65" s="11" t="s">
        <v>26</v>
      </c>
      <c r="E65" s="7" t="s">
        <v>10</v>
      </c>
      <c r="F65" s="19" t="s">
        <v>21</v>
      </c>
      <c r="G65" s="5" t="s">
        <v>12</v>
      </c>
      <c r="H65" s="20">
        <v>3928.48</v>
      </c>
      <c r="I65" s="20">
        <f>1964.24+3.18+13.11+660.18+1964.24</f>
        <v>4604.95</v>
      </c>
      <c r="J65" s="35">
        <f>214.89+85.37+154.01</f>
        <v>454.27</v>
      </c>
      <c r="K65" s="45">
        <f>Tabela4[[#This Row],[Rem. Bruta (2)]]-Tabela4[[#This Row],[Descontos]]</f>
        <v>4150.68</v>
      </c>
    </row>
    <row r="66" spans="2:11" ht="15" customHeight="1" x14ac:dyDescent="0.25">
      <c r="B66" s="29">
        <v>190</v>
      </c>
      <c r="C66" s="11" t="s">
        <v>100</v>
      </c>
      <c r="D66" s="11" t="s">
        <v>101</v>
      </c>
      <c r="E66" s="7" t="s">
        <v>10</v>
      </c>
      <c r="F66" s="19" t="s">
        <v>69</v>
      </c>
      <c r="G66" s="5" t="s">
        <v>12</v>
      </c>
      <c r="H66" s="20">
        <v>3741.41</v>
      </c>
      <c r="I66" s="20">
        <v>3741.41</v>
      </c>
      <c r="J66" s="35">
        <f>76+342.37+224.48</f>
        <v>642.85</v>
      </c>
      <c r="K66" s="45">
        <f>Tabela4[[#This Row],[Rem. Bruta (2)]]-Tabela4[[#This Row],[Descontos]]</f>
        <v>3098.56</v>
      </c>
    </row>
    <row r="67" spans="2:11" ht="15" customHeight="1" x14ac:dyDescent="0.25">
      <c r="B67" s="29">
        <v>1</v>
      </c>
      <c r="C67" s="11" t="s">
        <v>44</v>
      </c>
      <c r="D67" s="11" t="s">
        <v>45</v>
      </c>
      <c r="E67" s="7" t="s">
        <v>24</v>
      </c>
      <c r="F67" s="5" t="s">
        <v>15</v>
      </c>
      <c r="G67" s="5" t="s">
        <v>12</v>
      </c>
      <c r="H67" s="20">
        <v>24786.799999999999</v>
      </c>
      <c r="I67" s="20">
        <v>24786.799999999999</v>
      </c>
      <c r="J67" s="35">
        <f>2726.54+951.62+2919.4+1642.48</f>
        <v>8240.0399999999991</v>
      </c>
      <c r="K67" s="45">
        <f>Tabela4[[#This Row],[Rem. Bruta (2)]]-Tabela4[[#This Row],[Descontos]]</f>
        <v>16546.760000000002</v>
      </c>
    </row>
    <row r="68" spans="2:11" ht="15" customHeight="1" x14ac:dyDescent="0.25">
      <c r="B68" s="29">
        <v>211</v>
      </c>
      <c r="C68" s="11" t="s">
        <v>107</v>
      </c>
      <c r="D68" s="11" t="s">
        <v>19</v>
      </c>
      <c r="E68" s="7" t="s">
        <v>10</v>
      </c>
      <c r="F68" s="5" t="s">
        <v>18</v>
      </c>
      <c r="G68" s="5" t="s">
        <v>12</v>
      </c>
      <c r="H68" s="20">
        <v>3741.41</v>
      </c>
      <c r="I68" s="20">
        <v>3741.41</v>
      </c>
      <c r="J68" s="35">
        <f>75.97+342.37</f>
        <v>418.34000000000003</v>
      </c>
      <c r="K68" s="45">
        <f>Tabela4[[#This Row],[Rem. Bruta (2)]]-Tabela4[[#This Row],[Descontos]]</f>
        <v>3323.0699999999997</v>
      </c>
    </row>
    <row r="69" spans="2:11" ht="15" customHeight="1" x14ac:dyDescent="0.25">
      <c r="B69" s="29">
        <v>5</v>
      </c>
      <c r="C69" s="6" t="s">
        <v>46</v>
      </c>
      <c r="D69" s="6" t="s">
        <v>47</v>
      </c>
      <c r="E69" s="7" t="s">
        <v>10</v>
      </c>
      <c r="F69" s="5" t="s">
        <v>15</v>
      </c>
      <c r="G69" s="5" t="s">
        <v>12</v>
      </c>
      <c r="H69" s="20">
        <v>7370.35</v>
      </c>
      <c r="I69" s="20">
        <v>7370.35</v>
      </c>
      <c r="J69" s="35">
        <f>696.37+841.43+86.08</f>
        <v>1623.8799999999999</v>
      </c>
      <c r="K69" s="45">
        <f>Tabela4[[#This Row],[Rem. Bruta (2)]]-Tabela4[[#This Row],[Descontos]]</f>
        <v>5746.47</v>
      </c>
    </row>
    <row r="70" spans="2:11" ht="15" customHeight="1" x14ac:dyDescent="0.25">
      <c r="B70" s="29">
        <v>641</v>
      </c>
      <c r="C70" s="6" t="s">
        <v>166</v>
      </c>
      <c r="D70" s="6" t="s">
        <v>109</v>
      </c>
      <c r="E70" s="7" t="s">
        <v>10</v>
      </c>
      <c r="F70" s="5" t="s">
        <v>69</v>
      </c>
      <c r="G70" s="5" t="s">
        <v>12</v>
      </c>
      <c r="H70" s="20">
        <v>3741.41</v>
      </c>
      <c r="I70" s="20">
        <v>3616.7</v>
      </c>
      <c r="J70" s="35">
        <f>327.4+217</f>
        <v>544.4</v>
      </c>
      <c r="K70" s="45">
        <f>Tabela4[[#This Row],[Rem. Bruta (2)]]-Tabela4[[#This Row],[Descontos]]</f>
        <v>3072.2999999999997</v>
      </c>
    </row>
    <row r="71" spans="2:11" ht="15" customHeight="1" x14ac:dyDescent="0.25">
      <c r="B71" s="29">
        <v>202</v>
      </c>
      <c r="C71" s="6" t="s">
        <v>104</v>
      </c>
      <c r="D71" s="6" t="s">
        <v>101</v>
      </c>
      <c r="E71" s="7" t="s">
        <v>10</v>
      </c>
      <c r="F71" s="5" t="s">
        <v>69</v>
      </c>
      <c r="G71" s="5" t="s">
        <v>12</v>
      </c>
      <c r="H71" s="20">
        <v>3741.41</v>
      </c>
      <c r="I71" s="20">
        <v>3741.41</v>
      </c>
      <c r="J71" s="35">
        <f>75.97+342.37+224.48</f>
        <v>642.82000000000005</v>
      </c>
      <c r="K71" s="45">
        <f>Tabela4[[#This Row],[Rem. Bruta (2)]]-Tabela4[[#This Row],[Descontos]]</f>
        <v>3098.5899999999997</v>
      </c>
    </row>
    <row r="72" spans="2:11" ht="15" customHeight="1" x14ac:dyDescent="0.25">
      <c r="B72" s="29">
        <v>10</v>
      </c>
      <c r="C72" s="6" t="s">
        <v>48</v>
      </c>
      <c r="D72" s="6" t="s">
        <v>63</v>
      </c>
      <c r="E72" s="7" t="s">
        <v>24</v>
      </c>
      <c r="F72" s="5" t="s">
        <v>20</v>
      </c>
      <c r="G72" s="5" t="s">
        <v>12</v>
      </c>
      <c r="H72" s="20">
        <v>14666.32</v>
      </c>
      <c r="I72" s="20">
        <f>14666.32+488.88</f>
        <v>15155.199999999999</v>
      </c>
      <c r="J72" s="35">
        <f>1613.3+27.5+951.62+1145.24</f>
        <v>3737.66</v>
      </c>
      <c r="K72" s="45">
        <f>Tabela4[[#This Row],[Rem. Bruta (2)]]-Tabela4[[#This Row],[Descontos]]</f>
        <v>11417.539999999999</v>
      </c>
    </row>
    <row r="73" spans="2:11" ht="15" customHeight="1" x14ac:dyDescent="0.25">
      <c r="B73" s="29">
        <v>11</v>
      </c>
      <c r="C73" s="6" t="s">
        <v>49</v>
      </c>
      <c r="D73" s="6" t="s">
        <v>50</v>
      </c>
      <c r="E73" s="7" t="s">
        <v>10</v>
      </c>
      <c r="F73" s="5" t="s">
        <v>20</v>
      </c>
      <c r="G73" s="5" t="s">
        <v>12</v>
      </c>
      <c r="H73" s="20">
        <v>4655.97</v>
      </c>
      <c r="I73" s="20">
        <v>4655.97</v>
      </c>
      <c r="J73" s="35">
        <f>235.48+461.41</f>
        <v>696.89</v>
      </c>
      <c r="K73" s="45">
        <f>Tabela4[[#This Row],[Rem. Bruta (2)]]-Tabela4[[#This Row],[Descontos]]</f>
        <v>3959.0800000000004</v>
      </c>
    </row>
    <row r="74" spans="2:11" ht="15" customHeight="1" x14ac:dyDescent="0.25">
      <c r="B74" s="29">
        <v>370</v>
      </c>
      <c r="C74" s="10" t="s">
        <v>123</v>
      </c>
      <c r="D74" s="9" t="s">
        <v>124</v>
      </c>
      <c r="E74" s="7" t="s">
        <v>10</v>
      </c>
      <c r="F74" s="21" t="s">
        <v>15</v>
      </c>
      <c r="G74" s="5" t="s">
        <v>12</v>
      </c>
      <c r="H74" s="20">
        <v>2743.7</v>
      </c>
      <c r="I74" s="20">
        <f>1829.13+0.06+0.26+304.96+914.57</f>
        <v>3048.98</v>
      </c>
      <c r="J74" s="35">
        <f>91.48+25.95+141.85</f>
        <v>259.27999999999997</v>
      </c>
      <c r="K74" s="45">
        <f>Tabela4[[#This Row],[Rem. Bruta (2)]]-Tabela4[[#This Row],[Descontos]]</f>
        <v>2789.7</v>
      </c>
    </row>
    <row r="75" spans="2:11" ht="15" customHeight="1" x14ac:dyDescent="0.25">
      <c r="B75" s="29">
        <v>9</v>
      </c>
      <c r="C75" s="6" t="s">
        <v>51</v>
      </c>
      <c r="D75" s="6" t="s">
        <v>78</v>
      </c>
      <c r="E75" s="7" t="s">
        <v>10</v>
      </c>
      <c r="F75" s="19" t="s">
        <v>21</v>
      </c>
      <c r="G75" s="5" t="s">
        <v>12</v>
      </c>
      <c r="H75" s="20">
        <v>4655.97</v>
      </c>
      <c r="I75" s="20">
        <f>4345.57+0.26+1.16+103.94+310.4</f>
        <v>4761.329999999999</v>
      </c>
      <c r="J75" s="35">
        <f>197.69+111.89+35.67+22.54+417.96+727.27</f>
        <v>1513.02</v>
      </c>
      <c r="K75" s="45">
        <f>Tabela4[[#This Row],[Rem. Bruta (2)]]-Tabela4[[#This Row],[Descontos]]</f>
        <v>3248.309999999999</v>
      </c>
    </row>
    <row r="76" spans="2:11" ht="15" customHeight="1" x14ac:dyDescent="0.25">
      <c r="B76" s="29">
        <v>6</v>
      </c>
      <c r="C76" s="10" t="s">
        <v>52</v>
      </c>
      <c r="D76" s="10" t="s">
        <v>53</v>
      </c>
      <c r="E76" s="7" t="s">
        <v>24</v>
      </c>
      <c r="F76" s="5" t="s">
        <v>15</v>
      </c>
      <c r="G76" s="5" t="s">
        <v>12</v>
      </c>
      <c r="H76" s="20">
        <v>11055.52</v>
      </c>
      <c r="I76" s="20">
        <f>5896.28+1719.74+5159.24+456.08</f>
        <v>13231.339999999998</v>
      </c>
      <c r="J76" s="35">
        <f>648.6+17.5+772.64+635.06+1108.32+45.43</f>
        <v>3227.5499999999997</v>
      </c>
      <c r="K76" s="45">
        <f>Tabela4[[#This Row],[Rem. Bruta (2)]]-Tabela4[[#This Row],[Descontos]]</f>
        <v>10003.789999999999</v>
      </c>
    </row>
    <row r="77" spans="2:11" ht="15" customHeight="1" x14ac:dyDescent="0.25">
      <c r="B77" s="29">
        <v>509</v>
      </c>
      <c r="C77" s="10" t="s">
        <v>134</v>
      </c>
      <c r="D77" s="9" t="s">
        <v>156</v>
      </c>
      <c r="E77" s="7" t="s">
        <v>10</v>
      </c>
      <c r="F77" s="5" t="s">
        <v>69</v>
      </c>
      <c r="G77" s="5" t="s">
        <v>12</v>
      </c>
      <c r="H77" s="20">
        <v>3741.41</v>
      </c>
      <c r="I77" s="20">
        <f>3367.27+374.14</f>
        <v>3741.41</v>
      </c>
      <c r="J77" s="35">
        <f>75.97+342.37</f>
        <v>418.34000000000003</v>
      </c>
      <c r="K77" s="45">
        <f>Tabela4[[#This Row],[Rem. Bruta (2)]]-Tabela4[[#This Row],[Descontos]]</f>
        <v>3323.0699999999997</v>
      </c>
    </row>
    <row r="78" spans="2:11" ht="15" customHeight="1" x14ac:dyDescent="0.25">
      <c r="B78" s="29">
        <v>125</v>
      </c>
      <c r="C78" s="10" t="s">
        <v>70</v>
      </c>
      <c r="D78" s="10" t="s">
        <v>71</v>
      </c>
      <c r="E78" s="7" t="s">
        <v>24</v>
      </c>
      <c r="F78" s="5" t="s">
        <v>15</v>
      </c>
      <c r="G78" s="5" t="s">
        <v>12</v>
      </c>
      <c r="H78" s="20">
        <v>10027.68</v>
      </c>
      <c r="I78" s="20">
        <v>10027.68</v>
      </c>
      <c r="J78" s="35">
        <f>1103.04+17.5+951.62+379.87</f>
        <v>2452.0299999999997</v>
      </c>
      <c r="K78" s="45">
        <f>Tabela4[[#This Row],[Rem. Bruta (2)]]-Tabela4[[#This Row],[Descontos]]</f>
        <v>7575.6500000000005</v>
      </c>
    </row>
    <row r="79" spans="2:11" ht="15" customHeight="1" x14ac:dyDescent="0.25">
      <c r="B79" s="29">
        <v>96</v>
      </c>
      <c r="C79" s="10" t="s">
        <v>99</v>
      </c>
      <c r="D79" s="10" t="s">
        <v>19</v>
      </c>
      <c r="E79" s="7" t="s">
        <v>10</v>
      </c>
      <c r="F79" s="5" t="s">
        <v>18</v>
      </c>
      <c r="G79" s="5" t="s">
        <v>12</v>
      </c>
      <c r="H79" s="20">
        <v>3741.41</v>
      </c>
      <c r="I79" s="20">
        <f>1870.7+3.17+15.85+629.91+1870.71</f>
        <v>4390.34</v>
      </c>
      <c r="J79" s="35">
        <f>203.99+74.65+145.59</f>
        <v>424.23</v>
      </c>
      <c r="K79" s="45">
        <f>Tabela4[[#This Row],[Rem. Bruta (2)]]-Tabela4[[#This Row],[Descontos]]</f>
        <v>3966.11</v>
      </c>
    </row>
    <row r="80" spans="2:11" ht="15" customHeight="1" x14ac:dyDescent="0.25">
      <c r="B80" s="29">
        <v>197</v>
      </c>
      <c r="C80" s="10" t="s">
        <v>102</v>
      </c>
      <c r="D80" s="10" t="s">
        <v>84</v>
      </c>
      <c r="E80" s="7" t="s">
        <v>10</v>
      </c>
      <c r="F80" s="5" t="s">
        <v>11</v>
      </c>
      <c r="G80" s="5" t="s">
        <v>12</v>
      </c>
      <c r="H80" s="20">
        <v>3741.41</v>
      </c>
      <c r="I80" s="20">
        <f>3616.69+5.87+22.86+51.15+124.72</f>
        <v>3821.29</v>
      </c>
      <c r="J80" s="35">
        <f>17.35+7.2+327.4</f>
        <v>351.95</v>
      </c>
      <c r="K80" s="45">
        <f>Tabela4[[#This Row],[Rem. Bruta (2)]]-Tabela4[[#This Row],[Descontos]]</f>
        <v>3469.34</v>
      </c>
    </row>
    <row r="81" spans="2:11" ht="15" customHeight="1" x14ac:dyDescent="0.25">
      <c r="B81" s="29">
        <v>143</v>
      </c>
      <c r="C81" s="10" t="s">
        <v>81</v>
      </c>
      <c r="D81" s="9" t="s">
        <v>156</v>
      </c>
      <c r="E81" s="7" t="s">
        <v>10</v>
      </c>
      <c r="F81" s="5" t="s">
        <v>69</v>
      </c>
      <c r="G81" s="5" t="s">
        <v>12</v>
      </c>
      <c r="H81" s="20">
        <v>3741.41</v>
      </c>
      <c r="I81" s="20">
        <v>3741.41</v>
      </c>
      <c r="J81" s="35">
        <f>75.97+342.37</f>
        <v>418.34000000000003</v>
      </c>
      <c r="K81" s="45">
        <f>Tabela4[[#This Row],[Rem. Bruta (2)]]-Tabela4[[#This Row],[Descontos]]</f>
        <v>3323.0699999999997</v>
      </c>
    </row>
    <row r="82" spans="2:11" ht="15" customHeight="1" x14ac:dyDescent="0.25">
      <c r="B82" s="29">
        <v>3</v>
      </c>
      <c r="C82" s="10" t="s">
        <v>54</v>
      </c>
      <c r="D82" s="10" t="s">
        <v>28</v>
      </c>
      <c r="E82" s="18" t="s">
        <v>24</v>
      </c>
      <c r="F82" s="19" t="s">
        <v>21</v>
      </c>
      <c r="G82" s="5" t="s">
        <v>12</v>
      </c>
      <c r="H82" s="20">
        <v>16978.09</v>
      </c>
      <c r="I82" s="20">
        <v>16978.09</v>
      </c>
      <c r="J82" s="35">
        <f>1867.59+951.62+1630.96</f>
        <v>4450.17</v>
      </c>
      <c r="K82" s="45">
        <f>Tabela4[[#This Row],[Rem. Bruta (2)]]-Tabela4[[#This Row],[Descontos]]</f>
        <v>12527.92</v>
      </c>
    </row>
    <row r="83" spans="2:11" ht="15" customHeight="1" x14ac:dyDescent="0.25">
      <c r="B83" s="29">
        <v>26</v>
      </c>
      <c r="C83" s="11" t="s">
        <v>55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f>4547.7+75.8</f>
        <v>4623.5</v>
      </c>
      <c r="J83" s="35">
        <f>204.68+446.26</f>
        <v>650.94000000000005</v>
      </c>
      <c r="K83" s="45">
        <f>Tabela4[[#This Row],[Rem. Bruta (2)]]-Tabela4[[#This Row],[Descontos]]</f>
        <v>3972.56</v>
      </c>
    </row>
    <row r="84" spans="2:11" ht="15" customHeight="1" x14ac:dyDescent="0.25">
      <c r="B84" s="29">
        <v>16</v>
      </c>
      <c r="C84" s="11" t="s">
        <v>56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v>4547.7</v>
      </c>
      <c r="J84" s="35">
        <f>211.12+446.26</f>
        <v>657.38</v>
      </c>
      <c r="K84" s="45">
        <f>Tabela4[[#This Row],[Rem. Bruta (2)]]-Tabela4[[#This Row],[Descontos]]</f>
        <v>3890.3199999999997</v>
      </c>
    </row>
    <row r="85" spans="2:11" ht="15" customHeight="1" x14ac:dyDescent="0.25">
      <c r="B85" s="29">
        <v>600</v>
      </c>
      <c r="C85" s="11" t="s">
        <v>155</v>
      </c>
      <c r="D85" s="9" t="s">
        <v>156</v>
      </c>
      <c r="E85" s="7" t="s">
        <v>157</v>
      </c>
      <c r="F85" s="19" t="s">
        <v>69</v>
      </c>
      <c r="G85" s="5" t="s">
        <v>12</v>
      </c>
      <c r="H85" s="20">
        <v>3741.41</v>
      </c>
      <c r="I85" s="20">
        <v>2806.07</v>
      </c>
      <c r="J85" s="35">
        <f>230.13</f>
        <v>230.13</v>
      </c>
      <c r="K85" s="45">
        <f>Tabela4[[#This Row],[Rem. Bruta (2)]]-Tabela4[[#This Row],[Descontos]]</f>
        <v>2575.94</v>
      </c>
    </row>
    <row r="86" spans="2:11" ht="15" customHeight="1" x14ac:dyDescent="0.25">
      <c r="B86" s="29">
        <v>18</v>
      </c>
      <c r="C86" s="9" t="s">
        <v>57</v>
      </c>
      <c r="D86" s="9" t="s">
        <v>78</v>
      </c>
      <c r="E86" s="7" t="s">
        <v>10</v>
      </c>
      <c r="F86" s="19" t="s">
        <v>21</v>
      </c>
      <c r="G86" s="5" t="s">
        <v>12</v>
      </c>
      <c r="H86" s="20">
        <v>4655.97</v>
      </c>
      <c r="I86" s="20">
        <v>4655.97</v>
      </c>
      <c r="J86" s="35">
        <f>225.63+461.41</f>
        <v>687.04</v>
      </c>
      <c r="K86" s="45">
        <f>Tabela4[[#This Row],[Rem. Bruta (2)]]-Tabela4[[#This Row],[Descontos]]</f>
        <v>3968.9300000000003</v>
      </c>
    </row>
    <row r="87" spans="2:11" ht="15" customHeight="1" x14ac:dyDescent="0.25">
      <c r="B87" s="29">
        <v>48</v>
      </c>
      <c r="C87" s="10" t="s">
        <v>58</v>
      </c>
      <c r="D87" s="10" t="s">
        <v>60</v>
      </c>
      <c r="E87" s="7" t="s">
        <v>10</v>
      </c>
      <c r="F87" s="8" t="s">
        <v>11</v>
      </c>
      <c r="G87" s="5" t="s">
        <v>12</v>
      </c>
      <c r="H87" s="20">
        <v>3284.86</v>
      </c>
      <c r="I87" s="20">
        <f>1532.93+197.38+805.99+525.58+1093.63+1751.93+459.88</f>
        <v>6367.3200000000006</v>
      </c>
      <c r="J87" s="35">
        <f>26.56+507.53+36.89+156.58+523.15</f>
        <v>1250.71</v>
      </c>
      <c r="K87" s="45">
        <f>Tabela4[[#This Row],[Rem. Bruta (2)]]-Tabela4[[#This Row],[Descontos]]</f>
        <v>5116.6100000000006</v>
      </c>
    </row>
    <row r="88" spans="2:11" ht="15" customHeight="1" x14ac:dyDescent="0.25">
      <c r="B88" s="29">
        <v>164</v>
      </c>
      <c r="C88" s="10" t="s">
        <v>91</v>
      </c>
      <c r="D88" s="10" t="s">
        <v>19</v>
      </c>
      <c r="E88" s="7" t="s">
        <v>10</v>
      </c>
      <c r="F88" s="8" t="s">
        <v>11</v>
      </c>
      <c r="G88" s="5" t="s">
        <v>12</v>
      </c>
      <c r="H88" s="20">
        <v>3741.41</v>
      </c>
      <c r="I88" s="20">
        <f>3367.27+374.14</f>
        <v>3741.41</v>
      </c>
      <c r="J88" s="35">
        <v>342.37</v>
      </c>
      <c r="K88" s="45">
        <f>Tabela4[[#This Row],[Rem. Bruta (2)]]-Tabela4[[#This Row],[Descontos]]</f>
        <v>3399.04</v>
      </c>
    </row>
    <row r="89" spans="2:11" ht="15" customHeight="1" x14ac:dyDescent="0.25">
      <c r="B89" s="29">
        <v>532</v>
      </c>
      <c r="C89" s="10" t="s">
        <v>135</v>
      </c>
      <c r="D89" s="10" t="s">
        <v>110</v>
      </c>
      <c r="E89" s="7" t="s">
        <v>10</v>
      </c>
      <c r="F89" s="8" t="s">
        <v>69</v>
      </c>
      <c r="G89" s="5" t="s">
        <v>12</v>
      </c>
      <c r="H89" s="20">
        <v>3741.41</v>
      </c>
      <c r="I89" s="20">
        <v>3741.41</v>
      </c>
      <c r="J89" s="35">
        <f>75.97+342.37+224.48</f>
        <v>642.82000000000005</v>
      </c>
      <c r="K89" s="45">
        <f>Tabela4[[#This Row],[Rem. Bruta (2)]]-Tabela4[[#This Row],[Descontos]]</f>
        <v>3098.5899999999997</v>
      </c>
    </row>
    <row r="90" spans="2:11" ht="15" customHeight="1" x14ac:dyDescent="0.25">
      <c r="B90" s="30">
        <v>218</v>
      </c>
      <c r="C90" s="31" t="s">
        <v>113</v>
      </c>
      <c r="D90" s="9" t="s">
        <v>156</v>
      </c>
      <c r="E90" s="22" t="s">
        <v>122</v>
      </c>
      <c r="F90" s="32" t="s">
        <v>69</v>
      </c>
      <c r="G90" s="21" t="s">
        <v>12</v>
      </c>
      <c r="H90" s="34">
        <v>2806.07</v>
      </c>
      <c r="I90" s="20">
        <v>2806.07</v>
      </c>
      <c r="J90" s="20">
        <f>230.13+168.36</f>
        <v>398.49</v>
      </c>
      <c r="K90" s="45">
        <f>Tabela4[[#This Row],[Rem. Bruta (2)]]-Tabela4[[#This Row],[Descontos]]</f>
        <v>2407.58</v>
      </c>
    </row>
    <row r="91" spans="2:11" s="3" customFormat="1" x14ac:dyDescent="0.25">
      <c r="B91" s="24"/>
      <c r="C91" s="24"/>
      <c r="D91" s="24"/>
      <c r="E91" s="24"/>
      <c r="F91" s="24"/>
      <c r="G91" s="24"/>
      <c r="H91" s="24"/>
      <c r="I91" s="28"/>
      <c r="J91" s="28"/>
      <c r="K91" s="28"/>
    </row>
    <row r="92" spans="2:11" s="3" customFormat="1" x14ac:dyDescent="0.25">
      <c r="B92" s="41">
        <f>80</f>
        <v>80</v>
      </c>
      <c r="C92" s="40" t="s">
        <v>158</v>
      </c>
      <c r="D92" s="44" t="s">
        <v>149</v>
      </c>
      <c r="E92" s="44">
        <v>1</v>
      </c>
      <c r="H92" s="42" t="s">
        <v>137</v>
      </c>
      <c r="I92" s="43">
        <f>SUM(I10:I90)</f>
        <v>473620.38999999984</v>
      </c>
      <c r="J92" s="43">
        <f>SUM(J10:J90)</f>
        <v>97425.58</v>
      </c>
      <c r="K92" s="43">
        <f>SUM(K10:K90)</f>
        <v>376194.81</v>
      </c>
    </row>
    <row r="93" spans="2:11" x14ac:dyDescent="0.25">
      <c r="B93" s="41">
        <f>E92</f>
        <v>1</v>
      </c>
      <c r="C93" s="40" t="s">
        <v>162</v>
      </c>
      <c r="D93" s="44" t="s">
        <v>150</v>
      </c>
      <c r="E93" s="44">
        <v>0</v>
      </c>
    </row>
    <row r="94" spans="2:11" x14ac:dyDescent="0.25">
      <c r="B94" s="41">
        <f>E93</f>
        <v>0</v>
      </c>
      <c r="C94" s="40" t="s">
        <v>143</v>
      </c>
      <c r="D94" s="44"/>
      <c r="E94" s="44"/>
    </row>
    <row r="95" spans="2:11" x14ac:dyDescent="0.25">
      <c r="B95" s="41">
        <f>B92+B93-B94</f>
        <v>81</v>
      </c>
      <c r="C95" s="40" t="s">
        <v>159</v>
      </c>
    </row>
    <row r="96" spans="2:11" s="3" customFormat="1" x14ac:dyDescent="0.25">
      <c r="B96" s="44" t="s">
        <v>148</v>
      </c>
      <c r="C96" s="2"/>
      <c r="F96" s="23"/>
      <c r="G96" s="23"/>
      <c r="H96" s="2"/>
      <c r="I96" s="12"/>
      <c r="J96" s="2"/>
      <c r="K96" s="13"/>
    </row>
    <row r="97" spans="1:12" x14ac:dyDescent="0.25">
      <c r="B97" s="50" t="s">
        <v>147</v>
      </c>
      <c r="C97" s="50"/>
      <c r="D97" s="50"/>
      <c r="E97" s="50"/>
      <c r="F97" s="50"/>
      <c r="G97" s="50"/>
      <c r="H97" s="50"/>
      <c r="I97" s="50"/>
      <c r="J97" s="50"/>
      <c r="K97" s="50"/>
    </row>
    <row r="98" spans="1:12" x14ac:dyDescent="0.25">
      <c r="B98" s="50" t="s">
        <v>142</v>
      </c>
      <c r="C98" s="50"/>
      <c r="D98" s="50"/>
      <c r="E98" s="50"/>
      <c r="F98" s="50"/>
      <c r="G98" s="50"/>
      <c r="H98" s="50"/>
      <c r="I98" s="50"/>
      <c r="J98" s="50"/>
      <c r="K98" s="50"/>
    </row>
    <row r="99" spans="1:12" x14ac:dyDescent="0.25">
      <c r="B99" s="50" t="s">
        <v>144</v>
      </c>
      <c r="C99" s="50"/>
      <c r="D99" s="50"/>
      <c r="E99" s="50"/>
      <c r="F99" s="50"/>
      <c r="G99" s="50"/>
      <c r="H99" s="50"/>
      <c r="I99" s="50"/>
      <c r="J99" s="50"/>
      <c r="K99" s="50"/>
    </row>
    <row r="102" spans="1:12" s="3" customFormat="1" x14ac:dyDescent="0.25">
      <c r="A102"/>
      <c r="B102" s="1"/>
      <c r="C102" s="4"/>
      <c r="D102"/>
      <c r="E102"/>
      <c r="F102" s="1"/>
      <c r="G102" s="1"/>
      <c r="H102" s="2"/>
      <c r="I102" s="12"/>
      <c r="J102" s="2"/>
      <c r="K102" s="2"/>
      <c r="L102"/>
    </row>
  </sheetData>
  <mergeCells count="8">
    <mergeCell ref="B97:K97"/>
    <mergeCell ref="B98:K98"/>
    <mergeCell ref="B99:K99"/>
    <mergeCell ref="I8:K8"/>
    <mergeCell ref="D2:F2"/>
    <mergeCell ref="D3:F3"/>
    <mergeCell ref="D4:F4"/>
    <mergeCell ref="D5:F5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SETEMBRO</vt:lpstr>
      <vt:lpstr>SETEMBRO!Area_de_impressao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2025-10-21T18:00:27Z</dcterms:modified>
</cp:coreProperties>
</file>