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6\23. PORTAL TRANSPARÊNCIA (SITE)\1 DEMONSTRATIVO REMUNERAÇÃO\2 PUBLICAÇÃO SITE\"/>
    </mc:Choice>
  </mc:AlternateContent>
  <bookViews>
    <workbookView xWindow="-120" yWindow="-120" windowWidth="29040" windowHeight="15720"/>
  </bookViews>
  <sheets>
    <sheet name="JANEIRO" sheetId="3" r:id="rId1"/>
  </sheets>
  <definedNames>
    <definedName name="_xlnm.Print_Area" localSheetId="0">JANEIRO!$A$1:$K$100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3" l="1"/>
  <c r="B92" i="3" l="1"/>
  <c r="J89" i="3" l="1"/>
  <c r="J66" i="3"/>
  <c r="J90" i="3"/>
  <c r="I90" i="3"/>
  <c r="I89" i="3"/>
  <c r="K89" i="3" s="1"/>
  <c r="J85" i="3"/>
  <c r="K85" i="3" s="1"/>
  <c r="J81" i="3"/>
  <c r="I81" i="3"/>
  <c r="K81" i="3" s="1"/>
  <c r="J79" i="3"/>
  <c r="K79" i="3" s="1"/>
  <c r="J70" i="3"/>
  <c r="K70" i="3" s="1"/>
  <c r="J69" i="3"/>
  <c r="K69" i="3" s="1"/>
  <c r="J65" i="3"/>
  <c r="K65" i="3" s="1"/>
  <c r="J59" i="3"/>
  <c r="I59" i="3"/>
  <c r="K59" i="3" s="1"/>
  <c r="J56" i="3"/>
  <c r="K56" i="3" s="1"/>
  <c r="J55" i="3"/>
  <c r="K55" i="3" s="1"/>
  <c r="J51" i="3"/>
  <c r="I51" i="3"/>
  <c r="K51" i="3" s="1"/>
  <c r="J49" i="3"/>
  <c r="I49" i="3"/>
  <c r="J47" i="3"/>
  <c r="J37" i="3"/>
  <c r="I35" i="3"/>
  <c r="K35" i="3" s="1"/>
  <c r="J33" i="3"/>
  <c r="I33" i="3"/>
  <c r="J32" i="3"/>
  <c r="J29" i="3"/>
  <c r="I29" i="3"/>
  <c r="J30" i="3"/>
  <c r="K30" i="3"/>
  <c r="I26" i="3"/>
  <c r="J26" i="3"/>
  <c r="K26" i="3"/>
  <c r="J25" i="3"/>
  <c r="I25" i="3"/>
  <c r="K25" i="3" s="1"/>
  <c r="J23" i="3"/>
  <c r="K23" i="3" s="1"/>
  <c r="J17" i="3"/>
  <c r="I17" i="3"/>
  <c r="K17" i="3" s="1"/>
  <c r="J16" i="3"/>
  <c r="I16" i="3"/>
  <c r="J14" i="3"/>
  <c r="J86" i="3"/>
  <c r="I86" i="3"/>
  <c r="J84" i="3"/>
  <c r="I84" i="3"/>
  <c r="K84" i="3" s="1"/>
  <c r="J83" i="3"/>
  <c r="I83" i="3"/>
  <c r="K83" i="3" s="1"/>
  <c r="I82" i="3"/>
  <c r="J82" i="3"/>
  <c r="K82" i="3"/>
  <c r="J74" i="3"/>
  <c r="I74" i="3"/>
  <c r="K74" i="3" s="1"/>
  <c r="J63" i="3"/>
  <c r="K63" i="3" s="1"/>
  <c r="J53" i="3"/>
  <c r="I53" i="3"/>
  <c r="J48" i="3"/>
  <c r="I48" i="3"/>
  <c r="K48" i="3" s="1"/>
  <c r="J44" i="3"/>
  <c r="I44" i="3"/>
  <c r="K44" i="3" s="1"/>
  <c r="J22" i="3"/>
  <c r="I22" i="3"/>
  <c r="I21" i="3"/>
  <c r="J21" i="3"/>
  <c r="J78" i="3"/>
  <c r="I78" i="3"/>
  <c r="J72" i="3"/>
  <c r="K72" i="3" s="1"/>
  <c r="J71" i="3"/>
  <c r="K71" i="3"/>
  <c r="J54" i="3"/>
  <c r="I54" i="3"/>
  <c r="K54" i="3" s="1"/>
  <c r="J42" i="3"/>
  <c r="I42" i="3"/>
  <c r="K42" i="3" s="1"/>
  <c r="J36" i="3"/>
  <c r="I36" i="3"/>
  <c r="K36" i="3" s="1"/>
  <c r="J31" i="3"/>
  <c r="I31" i="3"/>
  <c r="K31" i="3"/>
  <c r="J27" i="3"/>
  <c r="I27" i="3"/>
  <c r="K27" i="3" s="1"/>
  <c r="J20" i="3"/>
  <c r="K20" i="3" s="1"/>
  <c r="J15" i="3"/>
  <c r="I15" i="3"/>
  <c r="K15" i="3" s="1"/>
  <c r="J88" i="3"/>
  <c r="I88" i="3"/>
  <c r="J87" i="3"/>
  <c r="I87" i="3"/>
  <c r="J80" i="3"/>
  <c r="I80" i="3"/>
  <c r="K80" i="3" s="1"/>
  <c r="J61" i="3"/>
  <c r="I61" i="3"/>
  <c r="K61" i="3" s="1"/>
  <c r="I58" i="3"/>
  <c r="K58" i="3" s="1"/>
  <c r="I57" i="3"/>
  <c r="K57" i="3" s="1"/>
  <c r="J45" i="3"/>
  <c r="I45" i="3"/>
  <c r="K45" i="3" s="1"/>
  <c r="I43" i="3"/>
  <c r="J43" i="3"/>
  <c r="J39" i="3"/>
  <c r="I39" i="3"/>
  <c r="K39" i="3" s="1"/>
  <c r="J28" i="3"/>
  <c r="I28" i="3"/>
  <c r="J18" i="3"/>
  <c r="I18" i="3"/>
  <c r="J10" i="3"/>
  <c r="I10" i="3"/>
  <c r="J77" i="3"/>
  <c r="I77" i="3"/>
  <c r="J75" i="3"/>
  <c r="K75" i="3" s="1"/>
  <c r="I68" i="3"/>
  <c r="J68" i="3"/>
  <c r="K68" i="3" s="1"/>
  <c r="J60" i="3"/>
  <c r="K60" i="3" s="1"/>
  <c r="J46" i="3"/>
  <c r="I46" i="3"/>
  <c r="J41" i="3"/>
  <c r="I41" i="3"/>
  <c r="K41" i="3" s="1"/>
  <c r="J40" i="3"/>
  <c r="I40" i="3"/>
  <c r="K40" i="3" s="1"/>
  <c r="J38" i="3"/>
  <c r="K38" i="3" s="1"/>
  <c r="J34" i="3"/>
  <c r="K34" i="3" s="1"/>
  <c r="J24" i="3"/>
  <c r="I24" i="3"/>
  <c r="J19" i="3"/>
  <c r="K11" i="3"/>
  <c r="K12" i="3"/>
  <c r="K13" i="3"/>
  <c r="K14" i="3"/>
  <c r="K19" i="3"/>
  <c r="K21" i="3"/>
  <c r="K29" i="3"/>
  <c r="K32" i="3"/>
  <c r="K33" i="3"/>
  <c r="K37" i="3"/>
  <c r="K46" i="3"/>
  <c r="K47" i="3"/>
  <c r="K50" i="3"/>
  <c r="K52" i="3"/>
  <c r="K53" i="3"/>
  <c r="K62" i="3"/>
  <c r="K64" i="3"/>
  <c r="K66" i="3"/>
  <c r="K67" i="3"/>
  <c r="K73" i="3"/>
  <c r="K76" i="3"/>
  <c r="K77" i="3"/>
  <c r="K78" i="3"/>
  <c r="K86" i="3"/>
  <c r="K88" i="3"/>
  <c r="K90" i="3"/>
  <c r="K43" i="3" l="1"/>
  <c r="K28" i="3"/>
  <c r="K22" i="3"/>
  <c r="K16" i="3"/>
  <c r="K49" i="3"/>
  <c r="K87" i="3"/>
  <c r="K18" i="3"/>
  <c r="J92" i="3"/>
  <c r="K24" i="3"/>
  <c r="B95" i="3" l="1"/>
  <c r="H58" i="3" l="1"/>
  <c r="I92" i="3" l="1"/>
  <c r="K92" i="3" l="1"/>
</calcChain>
</file>

<file path=xl/sharedStrings.xml><?xml version="1.0" encoding="utf-8"?>
<sst xmlns="http://schemas.openxmlformats.org/spreadsheetml/2006/main" count="433" uniqueCount="165">
  <si>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</si>
  <si>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</si>
  <si>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</si>
  <si>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</si>
  <si>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</si>
  <si>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</si>
  <si>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</si>
  <si>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</si>
  <si>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</si>
  <si>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</si>
  <si>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</si>
  <si>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</si>
  <si>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</si>
  <si>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</si>
  <si>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</si>
  <si>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</si>
  <si>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</si>
  <si>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</si>
  <si>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</si>
  <si>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</si>
  <si>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</si>
  <si>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</si>
  <si>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</si>
  <si>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</si>
  <si>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</si>
  <si>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</si>
  <si>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</si>
  <si>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</si>
  <si>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</si>
  <si>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</si>
  <si>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</si>
  <si>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</si>
  <si>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</si>
  <si>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</si>
  <si>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</si>
  <si>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</si>
  <si>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</si>
  <si>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</si>
  <si>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</si>
  <si>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</si>
  <si>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</si>
  <si>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</si>
  <si>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</si>
  <si>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</si>
  <si>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</si>
  <si>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</si>
  <si>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</si>
  <si>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</si>
  <si>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</si>
  <si>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</si>
  <si>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</si>
  <si>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</si>
  <si>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</si>
  <si>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</si>
  <si>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</si>
  <si>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</si>
  <si>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</si>
  <si>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</si>
  <si>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</si>
  <si>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</si>
  <si>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</si>
  <si>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</si>
  <si>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</si>
  <si>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</si>
  <si>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</si>
  <si>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</si>
  <si>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</si>
  <si>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</si>
  <si>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</si>
  <si>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</si>
  <si>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</si>
  <si>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</si>
  <si>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</si>
  <si>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</si>
  <si>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</si>
  <si>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</si>
  <si>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</si>
  <si>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</si>
  <si>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</si>
  <si>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</si>
  <si>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</si>
  <si>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</si>
  <si>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</si>
  <si>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</si>
  <si>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</si>
  <si>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</si>
  <si>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</si>
  <si>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</si>
  <si>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</si>
  <si>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</si>
  <si>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</si>
  <si>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</si>
  <si>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</si>
  <si>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</si>
  <si>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</si>
  <si>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</si>
  <si>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</si>
  <si>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</si>
  <si>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</si>
  <si>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</si>
  <si>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</si>
  <si>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</si>
  <si>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</si>
  <si>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</si>
  <si>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</si>
  <si>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</si>
  <si>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</si>
  <si>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</si>
  <si>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</si>
  <si>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</si>
  <si>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</si>
  <si>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</si>
  <si>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</si>
  <si>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</si>
  <si>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</si>
  <si>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</si>
  <si>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</si>
  <si>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</si>
  <si>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</si>
  <si>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</si>
  <si>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</si>
  <si>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</si>
  <si>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</si>
  <si>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</si>
  <si>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</si>
  <si>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</si>
  <si>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</si>
  <si>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</si>
  <si>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</si>
  <si>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</si>
  <si>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</si>
  <si>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</si>
  <si>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</si>
  <si>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</si>
  <si>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</si>
  <si>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</si>
  <si>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</si>
  <si>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</si>
  <si>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</si>
  <si>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</si>
  <si>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</si>
  <si>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</si>
  <si>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</si>
  <si>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</si>
  <si>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</si>
  <si>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</si>
  <si>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</si>
  <si>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</si>
  <si>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</si>
  <si>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</si>
  <si>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</si>
  <si>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</si>
  <si>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</si>
  <si>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</si>
  <si>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</si>
  <si>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</si>
  <si>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</si>
  <si>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</si>
  <si>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</si>
  <si>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</si>
  <si>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</si>
  <si>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Emerson Chaves de Oliveira</t>
  </si>
  <si>
    <t>Janeiro</t>
  </si>
  <si>
    <t>Exercício: 2026</t>
  </si>
  <si>
    <t>Santiago de Jesus Monteiro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</si>
</sst>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3"/>
  <sheetViews>
    <sheetView showGridLines="0" tabSelected="1" topLeftCell="B1" zoomScale="110" zoomScaleNormal="11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135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136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142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141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137</v>
      </c>
      <c r="E7" s="37" t="s">
        <v>162</v>
      </c>
      <c r="F7" s="37" t="s">
        <v>163</v>
      </c>
      <c r="G7" s="36"/>
      <c r="H7" s="36"/>
      <c r="I7" s="36"/>
    </row>
    <row r="8" spans="2:11" ht="15" customHeight="1" x14ac:dyDescent="0.25">
      <c r="E8" s="3"/>
      <c r="F8"/>
      <c r="G8"/>
      <c r="I8" s="50"/>
      <c r="J8" s="50"/>
      <c r="K8" s="50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133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66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f>3741.41+62.36</f>
        <v>3803.77</v>
      </c>
      <c r="J10" s="35">
        <f>591.26+337.55</f>
        <v>928.81</v>
      </c>
      <c r="K10" s="45">
        <f>Tabela4[[#This Row],[Rem. Bruta (2)]]-Tabela4[[#This Row],[Descontos]]</f>
        <v>2874.96</v>
      </c>
    </row>
    <row r="11" spans="2:11" s="1" customFormat="1" x14ac:dyDescent="0.25">
      <c r="B11" s="29">
        <v>178</v>
      </c>
      <c r="C11" s="15" t="s">
        <v>94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v>337.55</v>
      </c>
      <c r="K11" s="45">
        <f>Tabela4[[#This Row],[Rem. Bruta (2)]]-Tabela4[[#This Row],[Descontos]]</f>
        <v>3403.8599999999997</v>
      </c>
    </row>
    <row r="12" spans="2:11" s="1" customFormat="1" x14ac:dyDescent="0.25">
      <c r="B12" s="29">
        <v>135</v>
      </c>
      <c r="C12" s="15" t="s">
        <v>74</v>
      </c>
      <c r="D12" s="16" t="s">
        <v>91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3741.41</v>
      </c>
      <c r="J12" s="35">
        <v>337.55</v>
      </c>
      <c r="K12" s="45">
        <f>Tabela4[[#This Row],[Rem. Bruta (2)]]-Tabela4[[#This Row],[Descontos]]</f>
        <v>3403.8599999999997</v>
      </c>
    </row>
    <row r="13" spans="2:11" s="1" customFormat="1" x14ac:dyDescent="0.25">
      <c r="B13" s="29">
        <v>221</v>
      </c>
      <c r="C13" s="15" t="s">
        <v>112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v>337.55</v>
      </c>
      <c r="K13" s="45">
        <f>Tabela4[[#This Row],[Rem. Bruta (2)]]-Tabela4[[#This Row],[Descontos]]</f>
        <v>3403.8599999999997</v>
      </c>
    </row>
    <row r="14" spans="2:11" s="1" customFormat="1" x14ac:dyDescent="0.25">
      <c r="B14" s="29">
        <v>610</v>
      </c>
      <c r="C14" s="15" t="s">
        <v>156</v>
      </c>
      <c r="D14" s="16" t="s">
        <v>155</v>
      </c>
      <c r="E14" s="5" t="s">
        <v>24</v>
      </c>
      <c r="F14" s="5" t="s">
        <v>68</v>
      </c>
      <c r="G14" s="17" t="s">
        <v>12</v>
      </c>
      <c r="H14" s="14">
        <v>9095.42</v>
      </c>
      <c r="I14" s="20">
        <v>9095.42</v>
      </c>
      <c r="J14" s="35">
        <f>1244.55+10+988.07+78.07</f>
        <v>2320.69</v>
      </c>
      <c r="K14" s="45">
        <f>Tabela4[[#This Row],[Rem. Bruta (2)]]-Tabela4[[#This Row],[Descontos]]</f>
        <v>6774.73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1393.27+3.58+8.45+2.3+464.43+1393.28</f>
        <v>3265.31</v>
      </c>
      <c r="J15" s="35">
        <f>144.42+30.43+105.57</f>
        <v>280.41999999999996</v>
      </c>
      <c r="K15" s="45">
        <f>Tabela4[[#This Row],[Rem. Bruta (2)]]-Tabela4[[#This Row],[Descontos]]</f>
        <v>2984.89</v>
      </c>
    </row>
    <row r="16" spans="2:11" ht="15" customHeight="1" x14ac:dyDescent="0.25">
      <c r="B16" s="29">
        <v>166</v>
      </c>
      <c r="C16" s="6" t="s">
        <v>90</v>
      </c>
      <c r="D16" s="6" t="s">
        <v>87</v>
      </c>
      <c r="E16" s="7" t="s">
        <v>10</v>
      </c>
      <c r="F16" s="5" t="s">
        <v>68</v>
      </c>
      <c r="G16" s="5" t="s">
        <v>12</v>
      </c>
      <c r="H16" s="20">
        <v>4655.97</v>
      </c>
      <c r="I16" s="20">
        <f>3879.97+0.38+0.91+0.22+0.04+0.16+258.73+776</f>
        <v>4916.41</v>
      </c>
      <c r="J16" s="35">
        <f>77.61+57.82+354.36</f>
        <v>489.79</v>
      </c>
      <c r="K16" s="45">
        <f>Tabela4[[#This Row],[Rem. Bruta (2)]]-Tabela4[[#This Row],[Descontos]]</f>
        <v>4426.62</v>
      </c>
    </row>
    <row r="17" spans="2:11" ht="15" customHeight="1" x14ac:dyDescent="0.25">
      <c r="B17" s="29">
        <v>405</v>
      </c>
      <c r="C17" s="9" t="s">
        <v>125</v>
      </c>
      <c r="D17" s="9" t="s">
        <v>50</v>
      </c>
      <c r="E17" s="7" t="s">
        <v>14</v>
      </c>
      <c r="F17" s="5" t="s">
        <v>68</v>
      </c>
      <c r="G17" s="5" t="s">
        <v>12</v>
      </c>
      <c r="H17" s="20">
        <v>4655.97</v>
      </c>
      <c r="I17" s="20">
        <f>4190.37+465.6+4.2</f>
        <v>4660.17</v>
      </c>
      <c r="J17" s="35">
        <f>175.94+453.92</f>
        <v>629.86</v>
      </c>
      <c r="K17" s="45">
        <f>Tabela4[[#This Row],[Rem. Bruta (2)]]-Tabela4[[#This Row],[Descontos]]</f>
        <v>4030.31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f>2244.85+2.85+6.89+1.65+498.85+1496.56+62.36</f>
        <v>4314.0099999999993</v>
      </c>
      <c r="J18" s="35">
        <f>203.13+16.91+178.74</f>
        <v>398.78</v>
      </c>
      <c r="K18" s="45">
        <f>Tabela4[[#This Row],[Rem. Bruta (2)]]-Tabela4[[#This Row],[Descontos]]</f>
        <v>3915.2299999999996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2726.54+988.07+2909.37</f>
        <v>6623.98</v>
      </c>
      <c r="K19" s="45">
        <f>Tabela4[[#This Row],[Rem. Bruta (2)]]-Tabela4[[#This Row],[Descontos]]</f>
        <v>18162.82</v>
      </c>
    </row>
    <row r="20" spans="2:11" ht="15" customHeight="1" x14ac:dyDescent="0.25">
      <c r="B20" s="29">
        <v>215</v>
      </c>
      <c r="C20" s="6" t="s">
        <v>109</v>
      </c>
      <c r="D20" s="6" t="s">
        <v>108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26.39+453.33</f>
        <v>479.71999999999997</v>
      </c>
      <c r="K20" s="45">
        <f>Tabela4[[#This Row],[Rem. Bruta (2)]]-Tabela4[[#This Row],[Descontos]]</f>
        <v>4176.25</v>
      </c>
    </row>
    <row r="21" spans="2:11" ht="15" customHeight="1" x14ac:dyDescent="0.25">
      <c r="B21" s="29">
        <v>626</v>
      </c>
      <c r="C21" s="6" t="s">
        <v>159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f>3741.41+113.68</f>
        <v>3855.0899999999997</v>
      </c>
      <c r="J21" s="35">
        <f>113.68+337.55+284.19</f>
        <v>735.42000000000007</v>
      </c>
      <c r="K21" s="45">
        <f>Tabela4[[#This Row],[Rem. Bruta (2)]]-Tabela4[[#This Row],[Descontos]]</f>
        <v>3119.6699999999996</v>
      </c>
    </row>
    <row r="22" spans="2:11" ht="15" customHeight="1" x14ac:dyDescent="0.25">
      <c r="B22" s="29">
        <v>219</v>
      </c>
      <c r="C22" s="6" t="s">
        <v>110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1870.7+1+2.41+0.58+3.44+11.69+628.61+1870.71+124.71</f>
        <v>4513.8500000000004</v>
      </c>
      <c r="J22" s="35">
        <f>203.53+68.05+144.4</f>
        <v>415.98</v>
      </c>
      <c r="K22" s="45">
        <f>Tabela4[[#This Row],[Rem. Bruta (2)]]-Tabela4[[#This Row],[Descontos]]</f>
        <v>4097.8700000000008</v>
      </c>
    </row>
    <row r="23" spans="2:11" ht="15" customHeight="1" x14ac:dyDescent="0.25">
      <c r="B23" s="29">
        <v>354</v>
      </c>
      <c r="C23" s="6" t="s">
        <v>118</v>
      </c>
      <c r="D23" s="10" t="s">
        <v>119</v>
      </c>
      <c r="E23" s="18" t="s">
        <v>24</v>
      </c>
      <c r="F23" s="5" t="s">
        <v>68</v>
      </c>
      <c r="G23" s="5" t="s">
        <v>12</v>
      </c>
      <c r="H23" s="20">
        <v>9095.42</v>
      </c>
      <c r="I23" s="20">
        <v>9095.42</v>
      </c>
      <c r="J23" s="35">
        <f>1226.54+10+988.07</f>
        <v>2224.61</v>
      </c>
      <c r="K23" s="45">
        <f>Tabela4[[#This Row],[Rem. Bruta (2)]]-Tabela4[[#This Row],[Descontos]]</f>
        <v>6870.8099999999995</v>
      </c>
    </row>
    <row r="24" spans="2:11" ht="15" customHeight="1" x14ac:dyDescent="0.25">
      <c r="B24" s="29">
        <v>23</v>
      </c>
      <c r="C24" s="6" t="s">
        <v>25</v>
      </c>
      <c r="D24" s="6" t="s">
        <v>85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f>3342.57+1114.19+3342.57</f>
        <v>7799.33</v>
      </c>
      <c r="J24" s="35">
        <f>433.53+170.18+289.69</f>
        <v>893.40000000000009</v>
      </c>
      <c r="K24" s="45">
        <f>Tabela4[[#This Row],[Rem. Bruta (2)]]-Tabela4[[#This Row],[Descontos]]</f>
        <v>6905.93</v>
      </c>
    </row>
    <row r="25" spans="2:11" ht="15" customHeight="1" x14ac:dyDescent="0.25">
      <c r="B25" s="29">
        <v>168</v>
      </c>
      <c r="C25" s="6" t="s">
        <v>92</v>
      </c>
      <c r="D25" s="6" t="s">
        <v>101</v>
      </c>
      <c r="E25" s="7" t="s">
        <v>10</v>
      </c>
      <c r="F25" s="5" t="s">
        <v>68</v>
      </c>
      <c r="G25" s="5" t="s">
        <v>12</v>
      </c>
      <c r="H25" s="20">
        <v>4988.55</v>
      </c>
      <c r="I25" s="20">
        <f>498.85+2.69+10.78+1501.06+4489.7</f>
        <v>6503.08</v>
      </c>
      <c r="J25" s="35">
        <f>669.47+5.05+37.41+521.02</f>
        <v>1232.9499999999998</v>
      </c>
      <c r="K25" s="45">
        <f>Tabela4[[#This Row],[Rem. Bruta (2)]]-Tabela4[[#This Row],[Descontos]]</f>
        <v>5270.13</v>
      </c>
    </row>
    <row r="26" spans="2:11" ht="15" customHeight="1" x14ac:dyDescent="0.25">
      <c r="B26" s="29">
        <v>170</v>
      </c>
      <c r="C26" s="6" t="s">
        <v>93</v>
      </c>
      <c r="D26" s="6" t="s">
        <v>96</v>
      </c>
      <c r="E26" s="22" t="s">
        <v>24</v>
      </c>
      <c r="F26" s="5" t="s">
        <v>68</v>
      </c>
      <c r="G26" s="5" t="s">
        <v>12</v>
      </c>
      <c r="H26" s="20">
        <v>9095.42</v>
      </c>
      <c r="I26" s="20">
        <f>3031.81+916.86+2021.2+6063.61</f>
        <v>12033.48</v>
      </c>
      <c r="J26" s="35">
        <f>487+10+916.86+634.41+101.26+252.4+1443.04+458.43+916.86</f>
        <v>5220.26</v>
      </c>
      <c r="K26" s="45">
        <f>Tabela4[[#This Row],[Rem. Bruta (2)]]-Tabela4[[#This Row],[Descontos]]</f>
        <v>6813.2199999999993</v>
      </c>
    </row>
    <row r="27" spans="2:11" ht="15" customHeight="1" x14ac:dyDescent="0.25">
      <c r="B27" s="29">
        <v>13</v>
      </c>
      <c r="C27" s="10" t="s">
        <v>27</v>
      </c>
      <c r="D27" s="10" t="s">
        <v>101</v>
      </c>
      <c r="E27" s="18" t="s">
        <v>17</v>
      </c>
      <c r="F27" s="5" t="s">
        <v>20</v>
      </c>
      <c r="G27" s="5" t="s">
        <v>12</v>
      </c>
      <c r="H27" s="20">
        <v>2494.2800000000002</v>
      </c>
      <c r="I27" s="20">
        <f>914.57+3.24+7.86+1.88+1.44+5.75+528.97+1579.71</f>
        <v>3043.42</v>
      </c>
      <c r="J27" s="35">
        <f>168.84+15.39+69.56</f>
        <v>253.79000000000002</v>
      </c>
      <c r="K27" s="45">
        <f>Tabela4[[#This Row],[Rem. Bruta (2)]]-Tabela4[[#This Row],[Descontos]]</f>
        <v>2789.63</v>
      </c>
    </row>
    <row r="28" spans="2:11" ht="15" customHeight="1" x14ac:dyDescent="0.25">
      <c r="B28" s="29">
        <v>427</v>
      </c>
      <c r="C28" s="10" t="s">
        <v>126</v>
      </c>
      <c r="D28" s="10" t="s">
        <v>19</v>
      </c>
      <c r="E28" s="18" t="s">
        <v>10</v>
      </c>
      <c r="F28" s="5" t="s">
        <v>11</v>
      </c>
      <c r="G28" s="5" t="s">
        <v>12</v>
      </c>
      <c r="H28" s="20">
        <v>3741.41</v>
      </c>
      <c r="I28" s="20">
        <f>3741.41+62.36</f>
        <v>3803.77</v>
      </c>
      <c r="J28" s="35">
        <f>337.55+224.48</f>
        <v>562.03</v>
      </c>
      <c r="K28" s="45">
        <f>Tabela4[[#This Row],[Rem. Bruta (2)]]-Tabela4[[#This Row],[Descontos]]</f>
        <v>3241.74</v>
      </c>
    </row>
    <row r="29" spans="2:11" ht="15" customHeight="1" x14ac:dyDescent="0.25">
      <c r="B29" s="29">
        <v>119</v>
      </c>
      <c r="C29" s="10" t="s">
        <v>67</v>
      </c>
      <c r="D29" s="10" t="s">
        <v>63</v>
      </c>
      <c r="E29" s="18" t="s">
        <v>24</v>
      </c>
      <c r="F29" s="5" t="s">
        <v>68</v>
      </c>
      <c r="G29" s="5" t="s">
        <v>12</v>
      </c>
      <c r="H29" s="20">
        <v>14666.32</v>
      </c>
      <c r="I29" s="20">
        <f>12221.93+814.8+2444.39+284.5</f>
        <v>15765.619999999999</v>
      </c>
      <c r="J29" s="35">
        <f>1344.41+27.5+284.5+988.07+912.16</f>
        <v>3556.64</v>
      </c>
      <c r="K29" s="45">
        <f>Tabela4[[#This Row],[Rem. Bruta (2)]]-Tabela4[[#This Row],[Descontos]]</f>
        <v>12208.98</v>
      </c>
    </row>
    <row r="30" spans="2:11" ht="15" customHeight="1" x14ac:dyDescent="0.25">
      <c r="B30" s="29">
        <v>24</v>
      </c>
      <c r="C30" s="9" t="s">
        <v>29</v>
      </c>
      <c r="D30" s="9" t="s">
        <v>123</v>
      </c>
      <c r="E30" s="7" t="s">
        <v>24</v>
      </c>
      <c r="F30" s="5" t="s">
        <v>15</v>
      </c>
      <c r="G30" s="5" t="s">
        <v>12</v>
      </c>
      <c r="H30" s="20">
        <v>10027.68</v>
      </c>
      <c r="I30" s="20">
        <v>10027.68</v>
      </c>
      <c r="J30" s="35">
        <f>1280.59+17.5+988.07+296.58</f>
        <v>2582.7399999999998</v>
      </c>
      <c r="K30" s="45">
        <f>Tabela4[[#This Row],[Rem. Bruta (2)]]-Tabela4[[#This Row],[Descontos]]</f>
        <v>7444.9400000000005</v>
      </c>
    </row>
    <row r="31" spans="2:11" ht="15" customHeight="1" x14ac:dyDescent="0.25">
      <c r="B31" s="29">
        <v>456</v>
      </c>
      <c r="C31" s="9" t="s">
        <v>127</v>
      </c>
      <c r="D31" s="9" t="s">
        <v>128</v>
      </c>
      <c r="E31" s="7" t="s">
        <v>14</v>
      </c>
      <c r="F31" s="5" t="s">
        <v>20</v>
      </c>
      <c r="G31" s="5" t="s">
        <v>12</v>
      </c>
      <c r="H31" s="20">
        <v>1920.58</v>
      </c>
      <c r="I31" s="20">
        <f>1408.43+7.64+18.47+4.43+2.94+11.75+175.61+512.15</f>
        <v>2141.4200000000005</v>
      </c>
      <c r="J31" s="35">
        <f>227.42+52.68+7.8+107.92+84.5+205.86</f>
        <v>686.18000000000006</v>
      </c>
      <c r="K31" s="45">
        <f>Tabela4[[#This Row],[Rem. Bruta (2)]]-Tabela4[[#This Row],[Descontos]]</f>
        <v>1455.2400000000005</v>
      </c>
    </row>
    <row r="32" spans="2:11" ht="15" customHeight="1" x14ac:dyDescent="0.25">
      <c r="B32" s="29">
        <v>150</v>
      </c>
      <c r="C32" s="9" t="s">
        <v>81</v>
      </c>
      <c r="D32" s="9" t="s">
        <v>9</v>
      </c>
      <c r="E32" s="7" t="s">
        <v>10</v>
      </c>
      <c r="F32" s="5" t="s">
        <v>68</v>
      </c>
      <c r="G32" s="5" t="s">
        <v>12</v>
      </c>
      <c r="H32" s="20">
        <v>3741.41</v>
      </c>
      <c r="I32" s="20">
        <v>3741.41</v>
      </c>
      <c r="J32" s="35">
        <f>337.55+224.48</f>
        <v>562.03</v>
      </c>
      <c r="K32" s="45">
        <f>Tabela4[[#This Row],[Rem. Bruta (2)]]-Tabela4[[#This Row],[Descontos]]</f>
        <v>3179.38</v>
      </c>
    </row>
    <row r="33" spans="2:11" ht="15" customHeight="1" x14ac:dyDescent="0.25">
      <c r="B33" s="29">
        <v>203</v>
      </c>
      <c r="C33" s="9" t="s">
        <v>103</v>
      </c>
      <c r="D33" s="9" t="s">
        <v>122</v>
      </c>
      <c r="E33" s="7" t="s">
        <v>10</v>
      </c>
      <c r="F33" s="5" t="s">
        <v>68</v>
      </c>
      <c r="G33" s="5" t="s">
        <v>12</v>
      </c>
      <c r="H33" s="20">
        <v>1920.58</v>
      </c>
      <c r="I33" s="20">
        <f>192.06+18.85+45.62+10.95+16.92+67.69+518.55+777.23+1728.52+0.71+57.62</f>
        <v>3434.72</v>
      </c>
      <c r="J33" s="35">
        <f>277+24.38+11.52</f>
        <v>312.89999999999998</v>
      </c>
      <c r="K33" s="45">
        <f>Tabela4[[#This Row],[Rem. Bruta (2)]]-Tabela4[[#This Row],[Descontos]]</f>
        <v>3121.8199999999997</v>
      </c>
    </row>
    <row r="34" spans="2:11" ht="15" customHeight="1" x14ac:dyDescent="0.25">
      <c r="B34" s="29">
        <v>625</v>
      </c>
      <c r="C34" s="9" t="s">
        <v>158</v>
      </c>
      <c r="D34" s="9" t="s">
        <v>149</v>
      </c>
      <c r="E34" s="7" t="s">
        <v>10</v>
      </c>
      <c r="F34" s="5" t="s">
        <v>15</v>
      </c>
      <c r="G34" s="5" t="s">
        <v>12</v>
      </c>
      <c r="H34" s="20">
        <v>4655.9799999999996</v>
      </c>
      <c r="I34" s="20">
        <v>4655.9799999999996</v>
      </c>
      <c r="J34" s="35">
        <f>36.65+453.33</f>
        <v>489.97999999999996</v>
      </c>
      <c r="K34" s="45">
        <f>Tabela4[[#This Row],[Rem. Bruta (2)]]-Tabela4[[#This Row],[Descontos]]</f>
        <v>4166</v>
      </c>
    </row>
    <row r="35" spans="2:11" ht="15" customHeight="1" x14ac:dyDescent="0.25">
      <c r="B35" s="29">
        <v>599</v>
      </c>
      <c r="C35" s="9" t="s">
        <v>150</v>
      </c>
      <c r="D35" s="9" t="s">
        <v>152</v>
      </c>
      <c r="E35" s="7" t="s">
        <v>14</v>
      </c>
      <c r="F35" s="5" t="s">
        <v>68</v>
      </c>
      <c r="G35" s="5" t="s">
        <v>12</v>
      </c>
      <c r="H35" s="20">
        <v>3741.41</v>
      </c>
      <c r="I35" s="20">
        <f>3741.41</f>
        <v>3741.41</v>
      </c>
      <c r="J35" s="35">
        <v>337.55</v>
      </c>
      <c r="K35" s="45">
        <f>Tabela4[[#This Row],[Rem. Bruta (2)]]-Tabela4[[#This Row],[Descontos]]</f>
        <v>3403.8599999999997</v>
      </c>
    </row>
    <row r="36" spans="2:11" ht="15" customHeight="1" x14ac:dyDescent="0.25">
      <c r="B36" s="29">
        <v>45</v>
      </c>
      <c r="C36" s="10" t="s">
        <v>30</v>
      </c>
      <c r="D36" s="10" t="s">
        <v>59</v>
      </c>
      <c r="E36" s="7" t="s">
        <v>10</v>
      </c>
      <c r="F36" s="5" t="s">
        <v>20</v>
      </c>
      <c r="G36" s="5" t="s">
        <v>12</v>
      </c>
      <c r="H36" s="20">
        <v>3741.41</v>
      </c>
      <c r="I36" s="20">
        <f>3741.41</f>
        <v>3741.41</v>
      </c>
      <c r="J36" s="35">
        <f>471.87+337.55+838.78</f>
        <v>1648.2</v>
      </c>
      <c r="K36" s="45">
        <f>Tabela4[[#This Row],[Rem. Bruta (2)]]-Tabela4[[#This Row],[Descontos]]</f>
        <v>2093.21</v>
      </c>
    </row>
    <row r="37" spans="2:11" ht="15" customHeight="1" x14ac:dyDescent="0.25">
      <c r="B37" s="29">
        <v>676</v>
      </c>
      <c r="C37" s="6" t="s">
        <v>161</v>
      </c>
      <c r="D37" s="6" t="s">
        <v>152</v>
      </c>
      <c r="E37" s="7" t="s">
        <v>10</v>
      </c>
      <c r="F37" s="5" t="s">
        <v>68</v>
      </c>
      <c r="G37" s="5" t="s">
        <v>12</v>
      </c>
      <c r="H37" s="20">
        <v>3741.41</v>
      </c>
      <c r="I37" s="20">
        <v>3741.41</v>
      </c>
      <c r="J37" s="35">
        <f>337.55+224.48</f>
        <v>562.03</v>
      </c>
      <c r="K37" s="45">
        <f>Tabela4[[#This Row],[Rem. Bruta (2)]]-Tabela4[[#This Row],[Descontos]]</f>
        <v>3179.38</v>
      </c>
    </row>
    <row r="38" spans="2:11" ht="15" customHeight="1" x14ac:dyDescent="0.25">
      <c r="B38" s="29">
        <v>222</v>
      </c>
      <c r="C38" s="6" t="s">
        <v>114</v>
      </c>
      <c r="D38" s="6" t="s">
        <v>115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v>4988.55</v>
      </c>
      <c r="J38" s="35">
        <f>154.6+499.89</f>
        <v>654.49</v>
      </c>
      <c r="K38" s="45">
        <f>Tabela4[[#This Row],[Rem. Bruta (2)]]-Tabela4[[#This Row],[Descontos]]</f>
        <v>4334.0600000000004</v>
      </c>
    </row>
    <row r="39" spans="2:11" ht="15" customHeight="1" x14ac:dyDescent="0.25">
      <c r="B39" s="29">
        <v>77</v>
      </c>
      <c r="C39" s="6" t="s">
        <v>31</v>
      </c>
      <c r="D39" s="6" t="s">
        <v>86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2016.62+604.99+33.61</f>
        <v>2655.22</v>
      </c>
      <c r="J39" s="35">
        <f>302.56+211.62</f>
        <v>514.18000000000006</v>
      </c>
      <c r="K39" s="45">
        <f>Tabela4[[#This Row],[Rem. Bruta (2)]]-Tabela4[[#This Row],[Descontos]]</f>
        <v>2141.04</v>
      </c>
    </row>
    <row r="40" spans="2:11" ht="15" customHeight="1" x14ac:dyDescent="0.25">
      <c r="B40" s="29">
        <v>180</v>
      </c>
      <c r="C40" s="6" t="s">
        <v>95</v>
      </c>
      <c r="D40" s="6" t="s">
        <v>65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f>2244.84+0.51+1.99+499.68+1496.57</f>
        <v>4243.59</v>
      </c>
      <c r="J40" s="35">
        <f>161.66+58.45+177.71+134.69</f>
        <v>532.51</v>
      </c>
      <c r="K40" s="45">
        <f>Tabela4[[#This Row],[Rem. Bruta (2)]]-Tabela4[[#This Row],[Descontos]]</f>
        <v>3711.08</v>
      </c>
    </row>
    <row r="41" spans="2:11" ht="15" customHeight="1" x14ac:dyDescent="0.25">
      <c r="B41" s="29">
        <v>63</v>
      </c>
      <c r="C41" s="6" t="s">
        <v>32</v>
      </c>
      <c r="D41" s="11" t="s">
        <v>113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f>2793.58+1.5+6.01+623.3+1862.39</f>
        <v>5286.7800000000007</v>
      </c>
      <c r="J41" s="35">
        <f>213.91+100.64+227.1</f>
        <v>541.65</v>
      </c>
      <c r="K41" s="45">
        <f>Tabela4[[#This Row],[Rem. Bruta (2)]]-Tabela4[[#This Row],[Descontos]]</f>
        <v>4745.130000000001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f>3535.63+0.47+2+131.77+392.85+1.57+6.66+439.24+1309.49</f>
        <v>5819.6799999999994</v>
      </c>
      <c r="J42" s="35">
        <f>47.16+16.09+312.86+16.16</f>
        <v>392.27000000000004</v>
      </c>
      <c r="K42" s="45">
        <f>Tabela4[[#This Row],[Rem. Bruta (2)]]-Tabela4[[#This Row],[Descontos]]</f>
        <v>5427.4099999999989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f>14666.32</f>
        <v>14666.32</v>
      </c>
      <c r="J43" s="35">
        <f>1613.3+27.5+988.07+1187.36+2165.38</f>
        <v>5981.61</v>
      </c>
      <c r="K43" s="45">
        <f>Tabela4[[#This Row],[Rem. Bruta (2)]]-Tabela4[[#This Row],[Descontos]]</f>
        <v>8684.7099999999991</v>
      </c>
    </row>
    <row r="44" spans="2:11" ht="15" customHeight="1" x14ac:dyDescent="0.25">
      <c r="B44" s="29">
        <v>38</v>
      </c>
      <c r="C44" s="11" t="s">
        <v>35</v>
      </c>
      <c r="D44" s="11" t="s">
        <v>124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1964.23+1.31+2.99+0.94+3.04+12.15+659.8+1964.22+277.8</f>
        <v>4886.4800000000005</v>
      </c>
      <c r="J44" s="35">
        <f>214.75+79.03+152.93</f>
        <v>446.71</v>
      </c>
      <c r="K44" s="45">
        <f>Tabela4[[#This Row],[Rem. Bruta (2)]]-Tabela4[[#This Row],[Descontos]]</f>
        <v>4439.7700000000004</v>
      </c>
    </row>
    <row r="45" spans="2:11" ht="15" customHeight="1" x14ac:dyDescent="0.25">
      <c r="B45" s="29">
        <v>134</v>
      </c>
      <c r="C45" s="11" t="s">
        <v>75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f>3741.41+62.36</f>
        <v>3803.77</v>
      </c>
      <c r="J45" s="35">
        <f>337.55</f>
        <v>337.55</v>
      </c>
      <c r="K45" s="45">
        <f>Tabela4[[#This Row],[Rem. Bruta (2)]]-Tabela4[[#This Row],[Descontos]]</f>
        <v>3466.22</v>
      </c>
    </row>
    <row r="46" spans="2:11" ht="15" customHeight="1" x14ac:dyDescent="0.25">
      <c r="B46" s="29">
        <v>97</v>
      </c>
      <c r="C46" s="11" t="s">
        <v>61</v>
      </c>
      <c r="D46" s="11" t="s">
        <v>107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f>2494.27+2.06+4.75+1.43+0.38+1.54+416.35+1247.14</f>
        <v>4167.92</v>
      </c>
      <c r="J46" s="35">
        <f>127.11+60.72+200.9</f>
        <v>388.73</v>
      </c>
      <c r="K46" s="45">
        <f>Tabela4[[#This Row],[Rem. Bruta (2)]]-Tabela4[[#This Row],[Descontos]]</f>
        <v>3779.19</v>
      </c>
    </row>
    <row r="47" spans="2:11" ht="15" customHeight="1" x14ac:dyDescent="0.25">
      <c r="B47" s="29">
        <v>459</v>
      </c>
      <c r="C47" s="11" t="s">
        <v>129</v>
      </c>
      <c r="D47" s="11" t="s">
        <v>130</v>
      </c>
      <c r="E47" s="7" t="s">
        <v>10</v>
      </c>
      <c r="F47" s="5" t="s">
        <v>68</v>
      </c>
      <c r="G47" s="5" t="s">
        <v>12</v>
      </c>
      <c r="H47" s="20">
        <v>3741.41</v>
      </c>
      <c r="I47" s="20">
        <v>3741.41</v>
      </c>
      <c r="J47" s="35">
        <f>337.55+224.48</f>
        <v>562.03</v>
      </c>
      <c r="K47" s="45">
        <f>Tabela4[[#This Row],[Rem. Bruta (2)]]-Tabela4[[#This Row],[Descontos]]</f>
        <v>3179.38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f>2506.93+5.97+14.44+3.47+586.36+835.64+2506.92+167.13</f>
        <v>6626.86</v>
      </c>
      <c r="J48" s="35">
        <f>586.36+294.51+125.81+203.45+586.36</f>
        <v>1796.4900000000002</v>
      </c>
      <c r="K48" s="45">
        <f>Tabela4[[#This Row],[Rem. Bruta (2)]]-Tabela4[[#This Row],[Descontos]]</f>
        <v>4830.369999999999</v>
      </c>
    </row>
    <row r="49" spans="2:11" ht="15" customHeight="1" x14ac:dyDescent="0.25">
      <c r="B49" s="29">
        <v>151</v>
      </c>
      <c r="C49" s="9" t="s">
        <v>84</v>
      </c>
      <c r="D49" s="9" t="s">
        <v>60</v>
      </c>
      <c r="E49" s="7" t="s">
        <v>10</v>
      </c>
      <c r="F49" s="5" t="s">
        <v>68</v>
      </c>
      <c r="G49" s="5" t="s">
        <v>12</v>
      </c>
      <c r="H49" s="20">
        <v>2979.46</v>
      </c>
      <c r="I49" s="20">
        <f>2979.46+893.84</f>
        <v>3873.3</v>
      </c>
      <c r="J49" s="35">
        <f>353.38</f>
        <v>353.38</v>
      </c>
      <c r="K49" s="45">
        <f>Tabela4[[#This Row],[Rem. Bruta (2)]]-Tabela4[[#This Row],[Descontos]]</f>
        <v>3519.92</v>
      </c>
    </row>
    <row r="50" spans="2:11" ht="15" customHeight="1" x14ac:dyDescent="0.25">
      <c r="B50" s="29">
        <v>129</v>
      </c>
      <c r="C50" s="9" t="s">
        <v>73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v>3741.41</v>
      </c>
      <c r="J50" s="35">
        <v>337.55</v>
      </c>
      <c r="K50" s="45">
        <f>Tabela4[[#This Row],[Rem. Bruta (2)]]-Tabela4[[#This Row],[Descontos]]</f>
        <v>3403.8599999999997</v>
      </c>
    </row>
    <row r="51" spans="2:11" ht="15" customHeight="1" x14ac:dyDescent="0.25">
      <c r="B51" s="29">
        <v>126</v>
      </c>
      <c r="C51" s="9" t="s">
        <v>71</v>
      </c>
      <c r="D51" s="9" t="s">
        <v>82</v>
      </c>
      <c r="E51" s="7" t="s">
        <v>24</v>
      </c>
      <c r="F51" s="5" t="s">
        <v>68</v>
      </c>
      <c r="G51" s="5" t="s">
        <v>12</v>
      </c>
      <c r="H51" s="20">
        <v>9095.42</v>
      </c>
      <c r="I51" s="20">
        <f>7579.52+505.3+1515.9+33.69+277.8+151.59</f>
        <v>10063.800000000001</v>
      </c>
      <c r="J51" s="35">
        <f>1068.32+10+159.13+862.63+461.13+118.57+651.72</f>
        <v>3331.5</v>
      </c>
      <c r="K51" s="45">
        <f>Tabela4[[#This Row],[Rem. Bruta (2)]]-Tabela4[[#This Row],[Descontos]]</f>
        <v>6732.3000000000011</v>
      </c>
    </row>
    <row r="52" spans="2:11" ht="15" customHeight="1" x14ac:dyDescent="0.25">
      <c r="B52" s="29">
        <v>205</v>
      </c>
      <c r="C52" s="9" t="s">
        <v>104</v>
      </c>
      <c r="D52" s="9" t="s">
        <v>91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v>3741.41</v>
      </c>
      <c r="J52" s="35">
        <v>337.55</v>
      </c>
      <c r="K52" s="45">
        <f>Tabela4[[#This Row],[Rem. Bruta (2)]]-Tabela4[[#This Row],[Descontos]]</f>
        <v>3403.8599999999997</v>
      </c>
    </row>
    <row r="53" spans="2:11" ht="15" customHeight="1" x14ac:dyDescent="0.25">
      <c r="B53" s="29">
        <v>27</v>
      </c>
      <c r="C53" s="11" t="s">
        <v>38</v>
      </c>
      <c r="D53" s="11" t="s">
        <v>101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2993.13+1.72+6.97+668.03+1995.42+166.29</f>
        <v>5831.5599999999995</v>
      </c>
      <c r="J53" s="35">
        <f>235.37+111.51+247.76+18.25</f>
        <v>612.89</v>
      </c>
      <c r="K53" s="45">
        <f>Tabela4[[#This Row],[Rem. Bruta (2)]]-Tabela4[[#This Row],[Descontos]]</f>
        <v>5218.6699999999992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f>1870.7+1.95+4.71+1.13+0.77+2.63+624.7+1870.71</f>
        <v>4377.3</v>
      </c>
      <c r="J54" s="35">
        <f>202.12+67.46+144.74</f>
        <v>414.32</v>
      </c>
      <c r="K54" s="45">
        <f>Tabela4[[#This Row],[Rem. Bruta (2)]]-Tabela4[[#This Row],[Descontos]]</f>
        <v>3962.98</v>
      </c>
    </row>
    <row r="55" spans="2:11" ht="15" customHeight="1" x14ac:dyDescent="0.25">
      <c r="B55" s="29">
        <v>573</v>
      </c>
      <c r="C55" s="6" t="s">
        <v>147</v>
      </c>
      <c r="D55" s="6" t="s">
        <v>148</v>
      </c>
      <c r="E55" s="7" t="s">
        <v>24</v>
      </c>
      <c r="F55" s="8" t="s">
        <v>68</v>
      </c>
      <c r="G55" s="5" t="s">
        <v>12</v>
      </c>
      <c r="H55" s="20">
        <v>9095.42</v>
      </c>
      <c r="I55" s="20">
        <v>9095.42</v>
      </c>
      <c r="J55" s="35">
        <f>1244.55+10+988.07+78.07</f>
        <v>2320.69</v>
      </c>
      <c r="K55" s="45">
        <f>Tabela4[[#This Row],[Rem. Bruta (2)]]-Tabela4[[#This Row],[Descontos]]</f>
        <v>6774.73</v>
      </c>
    </row>
    <row r="56" spans="2:11" ht="15" customHeight="1" x14ac:dyDescent="0.25">
      <c r="B56" s="29">
        <v>210</v>
      </c>
      <c r="C56" s="6" t="s">
        <v>106</v>
      </c>
      <c r="D56" s="9" t="s">
        <v>152</v>
      </c>
      <c r="E56" s="7" t="s">
        <v>10</v>
      </c>
      <c r="F56" s="8" t="s">
        <v>68</v>
      </c>
      <c r="G56" s="5" t="s">
        <v>12</v>
      </c>
      <c r="H56" s="20">
        <v>3741.41</v>
      </c>
      <c r="I56" s="20">
        <v>3741.41</v>
      </c>
      <c r="J56" s="35">
        <f>337.55+224.48</f>
        <v>562.03</v>
      </c>
      <c r="K56" s="45">
        <f>Tabela4[[#This Row],[Rem. Bruta (2)]]-Tabela4[[#This Row],[Descontos]]</f>
        <v>3179.38</v>
      </c>
    </row>
    <row r="57" spans="2:11" ht="15" customHeight="1" x14ac:dyDescent="0.25">
      <c r="B57" s="29">
        <v>139</v>
      </c>
      <c r="C57" s="6" t="s">
        <v>79</v>
      </c>
      <c r="D57" s="6" t="s">
        <v>19</v>
      </c>
      <c r="E57" s="7" t="s">
        <v>10</v>
      </c>
      <c r="F57" s="5" t="s">
        <v>11</v>
      </c>
      <c r="G57" s="5" t="s">
        <v>12</v>
      </c>
      <c r="H57" s="20">
        <v>3741.41</v>
      </c>
      <c r="I57" s="20">
        <f>3741.41+62.36</f>
        <v>3803.77</v>
      </c>
      <c r="J57" s="35">
        <v>337.55</v>
      </c>
      <c r="K57" s="45">
        <f>Tabela4[[#This Row],[Rem. Bruta (2)]]-Tabela4[[#This Row],[Descontos]]</f>
        <v>3466.22</v>
      </c>
    </row>
    <row r="58" spans="2:11" ht="15" customHeight="1" x14ac:dyDescent="0.25">
      <c r="B58" s="29">
        <v>128</v>
      </c>
      <c r="C58" s="6" t="s">
        <v>72</v>
      </c>
      <c r="D58" s="10" t="s">
        <v>19</v>
      </c>
      <c r="E58" s="7" t="s">
        <v>10</v>
      </c>
      <c r="F58" s="5" t="s">
        <v>11</v>
      </c>
      <c r="G58" s="5" t="s">
        <v>12</v>
      </c>
      <c r="H58" s="20">
        <f>3367.27+374.14+2.05</f>
        <v>3743.46</v>
      </c>
      <c r="I58" s="20">
        <f>3741.41+62.36</f>
        <v>3803.77</v>
      </c>
      <c r="J58" s="35">
        <v>337.55</v>
      </c>
      <c r="K58" s="45">
        <f>Tabela4[[#This Row],[Rem. Bruta (2)]]-Tabela4[[#This Row],[Descontos]]</f>
        <v>3466.22</v>
      </c>
    </row>
    <row r="59" spans="2:11" ht="15" customHeight="1" x14ac:dyDescent="0.25">
      <c r="B59" s="29">
        <v>343</v>
      </c>
      <c r="C59" s="6" t="s">
        <v>117</v>
      </c>
      <c r="D59" s="10" t="s">
        <v>116</v>
      </c>
      <c r="E59" s="7" t="s">
        <v>24</v>
      </c>
      <c r="F59" s="5" t="s">
        <v>68</v>
      </c>
      <c r="G59" s="5" t="s">
        <v>12</v>
      </c>
      <c r="H59" s="20">
        <v>9095.42</v>
      </c>
      <c r="I59" s="20">
        <f>5154.07+1313.78+3941.35+80.3</f>
        <v>10489.499999999998</v>
      </c>
      <c r="J59" s="35">
        <f>811+10+545.3+523.07+91.36</f>
        <v>1980.7299999999998</v>
      </c>
      <c r="K59" s="45">
        <f>Tabela4[[#This Row],[Rem. Bruta (2)]]-Tabela4[[#This Row],[Descontos]]</f>
        <v>8508.7699999999986</v>
      </c>
    </row>
    <row r="60" spans="2:11" ht="15" customHeight="1" x14ac:dyDescent="0.25">
      <c r="B60" s="29">
        <v>47</v>
      </c>
      <c r="C60" s="9" t="s">
        <v>41</v>
      </c>
      <c r="D60" s="9" t="s">
        <v>78</v>
      </c>
      <c r="E60" s="7" t="s">
        <v>10</v>
      </c>
      <c r="F60" s="5" t="s">
        <v>15</v>
      </c>
      <c r="G60" s="5" t="s">
        <v>12</v>
      </c>
      <c r="H60" s="20">
        <v>3741.41</v>
      </c>
      <c r="I60" s="20">
        <v>3741.41</v>
      </c>
      <c r="J60" s="35">
        <f>234.19+337.55</f>
        <v>571.74</v>
      </c>
      <c r="K60" s="45">
        <f>Tabela4[[#This Row],[Rem. Bruta (2)]]-Tabela4[[#This Row],[Descontos]]</f>
        <v>3169.67</v>
      </c>
    </row>
    <row r="61" spans="2:11" ht="15" customHeight="1" x14ac:dyDescent="0.25">
      <c r="B61" s="29">
        <v>132</v>
      </c>
      <c r="C61" s="9" t="s">
        <v>76</v>
      </c>
      <c r="D61" s="10" t="s">
        <v>77</v>
      </c>
      <c r="E61" s="7" t="s">
        <v>10</v>
      </c>
      <c r="F61" s="21" t="s">
        <v>11</v>
      </c>
      <c r="G61" s="5" t="s">
        <v>12</v>
      </c>
      <c r="H61" s="20">
        <v>4655.97</v>
      </c>
      <c r="I61" s="20">
        <f>4035.17+0.03+0.09+206.97+620.8+77.77</f>
        <v>4940.8300000000008</v>
      </c>
      <c r="J61" s="35">
        <f>85.43+24.1+372.8+9.98</f>
        <v>492.31000000000006</v>
      </c>
      <c r="K61" s="45">
        <f>Tabela4[[#This Row],[Rem. Bruta (2)]]-Tabela4[[#This Row],[Descontos]]</f>
        <v>4448.5200000000004</v>
      </c>
    </row>
    <row r="62" spans="2:11" ht="15" customHeight="1" x14ac:dyDescent="0.25">
      <c r="B62" s="29">
        <v>165</v>
      </c>
      <c r="C62" s="9" t="s">
        <v>88</v>
      </c>
      <c r="D62" s="10" t="s">
        <v>87</v>
      </c>
      <c r="E62" s="7" t="s">
        <v>10</v>
      </c>
      <c r="F62" s="21" t="s">
        <v>68</v>
      </c>
      <c r="G62" s="5" t="s">
        <v>12</v>
      </c>
      <c r="H62" s="20">
        <v>4655.97</v>
      </c>
      <c r="I62" s="20">
        <v>4655.97</v>
      </c>
      <c r="J62" s="35">
        <v>453.33</v>
      </c>
      <c r="K62" s="45">
        <f>Tabela4[[#This Row],[Rem. Bruta (2)]]-Tabela4[[#This Row],[Descontos]]</f>
        <v>4202.6400000000003</v>
      </c>
    </row>
    <row r="63" spans="2:11" ht="15" customHeight="1" x14ac:dyDescent="0.25">
      <c r="B63" s="29">
        <v>25</v>
      </c>
      <c r="C63" s="10" t="s">
        <v>42</v>
      </c>
      <c r="D63" s="10" t="s">
        <v>39</v>
      </c>
      <c r="E63" s="7" t="s">
        <v>10</v>
      </c>
      <c r="F63" s="19" t="s">
        <v>21</v>
      </c>
      <c r="G63" s="5" t="s">
        <v>12</v>
      </c>
      <c r="H63" s="20">
        <v>4547.7</v>
      </c>
      <c r="I63" s="20">
        <v>4547.7</v>
      </c>
      <c r="J63" s="35">
        <f>438.18</f>
        <v>438.18</v>
      </c>
      <c r="K63" s="45">
        <f>Tabela4[[#This Row],[Rem. Bruta (2)]]-Tabela4[[#This Row],[Descontos]]</f>
        <v>4109.5199999999995</v>
      </c>
    </row>
    <row r="64" spans="2:11" ht="15" customHeight="1" x14ac:dyDescent="0.25">
      <c r="B64" s="29">
        <v>39</v>
      </c>
      <c r="C64" s="11" t="s">
        <v>43</v>
      </c>
      <c r="D64" s="11" t="s">
        <v>26</v>
      </c>
      <c r="E64" s="7" t="s">
        <v>10</v>
      </c>
      <c r="F64" s="19" t="s">
        <v>21</v>
      </c>
      <c r="G64" s="5" t="s">
        <v>12</v>
      </c>
      <c r="H64" s="20">
        <v>3928.48</v>
      </c>
      <c r="I64" s="20">
        <v>3928.48</v>
      </c>
      <c r="J64" s="35">
        <v>360</v>
      </c>
      <c r="K64" s="45">
        <f>Tabela4[[#This Row],[Rem. Bruta (2)]]-Tabela4[[#This Row],[Descontos]]</f>
        <v>3568.48</v>
      </c>
    </row>
    <row r="65" spans="2:11" ht="15" customHeight="1" x14ac:dyDescent="0.25">
      <c r="B65" s="29">
        <v>190</v>
      </c>
      <c r="C65" s="11" t="s">
        <v>98</v>
      </c>
      <c r="D65" s="11" t="s">
        <v>99</v>
      </c>
      <c r="E65" s="7" t="s">
        <v>10</v>
      </c>
      <c r="F65" s="19" t="s">
        <v>68</v>
      </c>
      <c r="G65" s="5" t="s">
        <v>12</v>
      </c>
      <c r="H65" s="20">
        <v>3741.41</v>
      </c>
      <c r="I65" s="20">
        <v>3741.41</v>
      </c>
      <c r="J65" s="35">
        <f>337.55+224.48</f>
        <v>562.03</v>
      </c>
      <c r="K65" s="45">
        <f>Tabela4[[#This Row],[Rem. Bruta (2)]]-Tabela4[[#This Row],[Descontos]]</f>
        <v>3179.38</v>
      </c>
    </row>
    <row r="66" spans="2:11" ht="15" customHeight="1" x14ac:dyDescent="0.25">
      <c r="B66" s="29">
        <v>1</v>
      </c>
      <c r="C66" s="11" t="s">
        <v>44</v>
      </c>
      <c r="D66" s="11" t="s">
        <v>45</v>
      </c>
      <c r="E66" s="7" t="s">
        <v>24</v>
      </c>
      <c r="F66" s="5" t="s">
        <v>15</v>
      </c>
      <c r="G66" s="5" t="s">
        <v>12</v>
      </c>
      <c r="H66" s="20">
        <v>24786.799999999999</v>
      </c>
      <c r="I66" s="20">
        <v>24786.799999999999</v>
      </c>
      <c r="J66" s="35">
        <f>2726.54+988.07+2909.37+1642.48</f>
        <v>8266.4599999999991</v>
      </c>
      <c r="K66" s="45">
        <f>Tabela4[[#This Row],[Rem. Bruta (2)]]-Tabela4[[#This Row],[Descontos]]</f>
        <v>16520.34</v>
      </c>
    </row>
    <row r="67" spans="2:11" ht="15" customHeight="1" x14ac:dyDescent="0.25">
      <c r="B67" s="29">
        <v>211</v>
      </c>
      <c r="C67" s="11" t="s">
        <v>105</v>
      </c>
      <c r="D67" s="11" t="s">
        <v>19</v>
      </c>
      <c r="E67" s="7" t="s">
        <v>10</v>
      </c>
      <c r="F67" s="5" t="s">
        <v>18</v>
      </c>
      <c r="G67" s="5" t="s">
        <v>12</v>
      </c>
      <c r="H67" s="20">
        <v>3741.41</v>
      </c>
      <c r="I67" s="20">
        <v>3741.41</v>
      </c>
      <c r="J67" s="35">
        <v>337.55</v>
      </c>
      <c r="K67" s="45">
        <f>Tabela4[[#This Row],[Rem. Bruta (2)]]-Tabela4[[#This Row],[Descontos]]</f>
        <v>3403.8599999999997</v>
      </c>
    </row>
    <row r="68" spans="2:11" ht="15" customHeight="1" x14ac:dyDescent="0.25">
      <c r="B68" s="29">
        <v>5</v>
      </c>
      <c r="C68" s="6" t="s">
        <v>46</v>
      </c>
      <c r="D68" s="6" t="s">
        <v>47</v>
      </c>
      <c r="E68" s="7" t="s">
        <v>10</v>
      </c>
      <c r="F68" s="5" t="s">
        <v>15</v>
      </c>
      <c r="G68" s="5" t="s">
        <v>12</v>
      </c>
      <c r="H68" s="20">
        <v>7370.35</v>
      </c>
      <c r="I68" s="20">
        <f>4176.53+72.74+168.61+49.59+1.82+7.29+1067.64+3193.82</f>
        <v>8738.0399999999991</v>
      </c>
      <c r="J68" s="35">
        <f>459.42+421.07+140.06+426.94+10.75</f>
        <v>1458.24</v>
      </c>
      <c r="K68" s="45">
        <f>Tabela4[[#This Row],[Rem. Bruta (2)]]-Tabela4[[#This Row],[Descontos]]</f>
        <v>7279.7999999999993</v>
      </c>
    </row>
    <row r="69" spans="2:11" ht="15" customHeight="1" x14ac:dyDescent="0.25">
      <c r="B69" s="29">
        <v>641</v>
      </c>
      <c r="C69" s="6" t="s">
        <v>160</v>
      </c>
      <c r="D69" s="6" t="s">
        <v>107</v>
      </c>
      <c r="E69" s="7" t="s">
        <v>10</v>
      </c>
      <c r="F69" s="5" t="s">
        <v>68</v>
      </c>
      <c r="G69" s="5" t="s">
        <v>12</v>
      </c>
      <c r="H69" s="20">
        <v>3741.41</v>
      </c>
      <c r="I69" s="20">
        <v>3741.41</v>
      </c>
      <c r="J69" s="35">
        <f>337.55+224.48</f>
        <v>562.03</v>
      </c>
      <c r="K69" s="45">
        <f>Tabela4[[#This Row],[Rem. Bruta (2)]]-Tabela4[[#This Row],[Descontos]]</f>
        <v>3179.38</v>
      </c>
    </row>
    <row r="70" spans="2:11" ht="15" customHeight="1" x14ac:dyDescent="0.25">
      <c r="B70" s="29">
        <v>202</v>
      </c>
      <c r="C70" s="6" t="s">
        <v>102</v>
      </c>
      <c r="D70" s="6" t="s">
        <v>99</v>
      </c>
      <c r="E70" s="7" t="s">
        <v>10</v>
      </c>
      <c r="F70" s="5" t="s">
        <v>68</v>
      </c>
      <c r="G70" s="5" t="s">
        <v>12</v>
      </c>
      <c r="H70" s="20">
        <v>3741.41</v>
      </c>
      <c r="I70" s="20">
        <v>3741.41</v>
      </c>
      <c r="J70" s="35">
        <f>42.48+337.55+224.48</f>
        <v>604.51</v>
      </c>
      <c r="K70" s="45">
        <f>Tabela4[[#This Row],[Rem. Bruta (2)]]-Tabela4[[#This Row],[Descontos]]</f>
        <v>3136.8999999999996</v>
      </c>
    </row>
    <row r="71" spans="2:11" ht="15" customHeight="1" x14ac:dyDescent="0.25">
      <c r="B71" s="29">
        <v>10</v>
      </c>
      <c r="C71" s="6" t="s">
        <v>48</v>
      </c>
      <c r="D71" s="6" t="s">
        <v>63</v>
      </c>
      <c r="E71" s="7" t="s">
        <v>24</v>
      </c>
      <c r="F71" s="5" t="s">
        <v>20</v>
      </c>
      <c r="G71" s="5" t="s">
        <v>12</v>
      </c>
      <c r="H71" s="20">
        <v>14666.32</v>
      </c>
      <c r="I71" s="20">
        <v>14666.32</v>
      </c>
      <c r="J71" s="35">
        <f>1613.3+27.5+1135.22+988.07</f>
        <v>3764.09</v>
      </c>
      <c r="K71" s="45">
        <f>Tabela4[[#This Row],[Rem. Bruta (2)]]-Tabela4[[#This Row],[Descontos]]</f>
        <v>10902.23</v>
      </c>
    </row>
    <row r="72" spans="2:11" ht="15" customHeight="1" x14ac:dyDescent="0.25">
      <c r="B72" s="29">
        <v>11</v>
      </c>
      <c r="C72" s="6" t="s">
        <v>49</v>
      </c>
      <c r="D72" s="6" t="s">
        <v>50</v>
      </c>
      <c r="E72" s="7" t="s">
        <v>10</v>
      </c>
      <c r="F72" s="5" t="s">
        <v>20</v>
      </c>
      <c r="G72" s="5" t="s">
        <v>12</v>
      </c>
      <c r="H72" s="20">
        <v>4655.97</v>
      </c>
      <c r="I72" s="20">
        <v>4655.97</v>
      </c>
      <c r="J72" s="35">
        <f>745.01+453.33</f>
        <v>1198.3399999999999</v>
      </c>
      <c r="K72" s="45">
        <f>Tabela4[[#This Row],[Rem. Bruta (2)]]-Tabela4[[#This Row],[Descontos]]</f>
        <v>3457.63</v>
      </c>
    </row>
    <row r="73" spans="2:11" ht="15" customHeight="1" x14ac:dyDescent="0.25">
      <c r="B73" s="29">
        <v>370</v>
      </c>
      <c r="C73" s="10" t="s">
        <v>120</v>
      </c>
      <c r="D73" s="9" t="s">
        <v>121</v>
      </c>
      <c r="E73" s="7" t="s">
        <v>10</v>
      </c>
      <c r="F73" s="21" t="s">
        <v>15</v>
      </c>
      <c r="G73" s="5" t="s">
        <v>12</v>
      </c>
      <c r="H73" s="20">
        <v>2743.7</v>
      </c>
      <c r="I73" s="20">
        <v>2743.7</v>
      </c>
      <c r="J73" s="35">
        <v>222.61</v>
      </c>
      <c r="K73" s="45">
        <f>Tabela4[[#This Row],[Rem. Bruta (2)]]-Tabela4[[#This Row],[Descontos]]</f>
        <v>2521.0899999999997</v>
      </c>
    </row>
    <row r="74" spans="2:11" ht="15" customHeight="1" x14ac:dyDescent="0.25">
      <c r="B74" s="29">
        <v>9</v>
      </c>
      <c r="C74" s="6" t="s">
        <v>51</v>
      </c>
      <c r="D74" s="6" t="s">
        <v>77</v>
      </c>
      <c r="E74" s="7" t="s">
        <v>10</v>
      </c>
      <c r="F74" s="19" t="s">
        <v>21</v>
      </c>
      <c r="G74" s="5" t="s">
        <v>12</v>
      </c>
      <c r="H74" s="20">
        <v>4655.97</v>
      </c>
      <c r="I74" s="20">
        <f>3879.97+0.63+1.52+0.37+335.29+335.66+0.17+0.55+258.91+776</f>
        <v>5589.07</v>
      </c>
      <c r="J74" s="35">
        <f>335.66+335.29+77.67+57.88+354.48+503.87+335.29</f>
        <v>2000.1399999999999</v>
      </c>
      <c r="K74" s="45">
        <f>Tabela4[[#This Row],[Rem. Bruta (2)]]-Tabela4[[#This Row],[Descontos]]</f>
        <v>3588.93</v>
      </c>
    </row>
    <row r="75" spans="2:11" ht="15" customHeight="1" x14ac:dyDescent="0.25">
      <c r="B75" s="29">
        <v>6</v>
      </c>
      <c r="C75" s="10" t="s">
        <v>52</v>
      </c>
      <c r="D75" s="10" t="s">
        <v>53</v>
      </c>
      <c r="E75" s="7" t="s">
        <v>24</v>
      </c>
      <c r="F75" s="5" t="s">
        <v>15</v>
      </c>
      <c r="G75" s="5" t="s">
        <v>12</v>
      </c>
      <c r="H75" s="20">
        <v>11055.52</v>
      </c>
      <c r="I75" s="20">
        <v>11055.52</v>
      </c>
      <c r="J75" s="35">
        <f>1311.54+17.5+988.07+548.28</f>
        <v>2865.3900000000003</v>
      </c>
      <c r="K75" s="45">
        <f>Tabela4[[#This Row],[Rem. Bruta (2)]]-Tabela4[[#This Row],[Descontos]]</f>
        <v>8190.13</v>
      </c>
    </row>
    <row r="76" spans="2:11" ht="15" customHeight="1" x14ac:dyDescent="0.25">
      <c r="B76" s="29">
        <v>509</v>
      </c>
      <c r="C76" s="10" t="s">
        <v>131</v>
      </c>
      <c r="D76" s="9" t="s">
        <v>152</v>
      </c>
      <c r="E76" s="7" t="s">
        <v>10</v>
      </c>
      <c r="F76" s="5" t="s">
        <v>68</v>
      </c>
      <c r="G76" s="5" t="s">
        <v>12</v>
      </c>
      <c r="H76" s="20">
        <v>3741.41</v>
      </c>
      <c r="I76" s="20">
        <v>3741.41</v>
      </c>
      <c r="J76" s="35">
        <v>337.55</v>
      </c>
      <c r="K76" s="45">
        <f>Tabela4[[#This Row],[Rem. Bruta (2)]]-Tabela4[[#This Row],[Descontos]]</f>
        <v>3403.8599999999997</v>
      </c>
    </row>
    <row r="77" spans="2:11" ht="15" customHeight="1" x14ac:dyDescent="0.25">
      <c r="B77" s="29">
        <v>125</v>
      </c>
      <c r="C77" s="10" t="s">
        <v>69</v>
      </c>
      <c r="D77" s="10" t="s">
        <v>70</v>
      </c>
      <c r="E77" s="7" t="s">
        <v>24</v>
      </c>
      <c r="F77" s="5" t="s">
        <v>15</v>
      </c>
      <c r="G77" s="5" t="s">
        <v>12</v>
      </c>
      <c r="H77" s="20">
        <v>10027.68</v>
      </c>
      <c r="I77" s="20">
        <f>8022.14+668.51+2005.54+222.02+501.39</f>
        <v>11419.599999999999</v>
      </c>
      <c r="J77" s="35">
        <f>1059.97+17.5+285.49+924.6+444.87</f>
        <v>2732.43</v>
      </c>
      <c r="K77" s="45">
        <f>Tabela4[[#This Row],[Rem. Bruta (2)]]-Tabela4[[#This Row],[Descontos]]</f>
        <v>8687.1699999999983</v>
      </c>
    </row>
    <row r="78" spans="2:11" ht="15" customHeight="1" x14ac:dyDescent="0.25">
      <c r="B78" s="29">
        <v>96</v>
      </c>
      <c r="C78" s="10" t="s">
        <v>97</v>
      </c>
      <c r="D78" s="10" t="s">
        <v>19</v>
      </c>
      <c r="E78" s="7" t="s">
        <v>10</v>
      </c>
      <c r="F78" s="5" t="s">
        <v>18</v>
      </c>
      <c r="G78" s="5" t="s">
        <v>12</v>
      </c>
      <c r="H78" s="20">
        <v>3741.41</v>
      </c>
      <c r="I78" s="20">
        <f>3741.41</f>
        <v>3741.41</v>
      </c>
      <c r="J78" s="35">
        <f>337.55+97.64</f>
        <v>435.19</v>
      </c>
      <c r="K78" s="45">
        <f>Tabela4[[#This Row],[Rem. Bruta (2)]]-Tabela4[[#This Row],[Descontos]]</f>
        <v>3306.22</v>
      </c>
    </row>
    <row r="79" spans="2:11" ht="15" customHeight="1" x14ac:dyDescent="0.25">
      <c r="B79" s="29">
        <v>703</v>
      </c>
      <c r="C79" s="10" t="s">
        <v>164</v>
      </c>
      <c r="D79" s="10" t="s">
        <v>152</v>
      </c>
      <c r="E79" s="7" t="s">
        <v>10</v>
      </c>
      <c r="F79" s="5" t="s">
        <v>68</v>
      </c>
      <c r="G79" s="5" t="s">
        <v>12</v>
      </c>
      <c r="H79" s="20">
        <v>3741.41</v>
      </c>
      <c r="I79" s="20">
        <v>3117.84</v>
      </c>
      <c r="J79" s="35">
        <f>262.73</f>
        <v>262.73</v>
      </c>
      <c r="K79" s="45">
        <f>Tabela4[[#This Row],[Rem. Bruta (2)]]-Tabela4[[#This Row],[Descontos]]</f>
        <v>2855.11</v>
      </c>
    </row>
    <row r="80" spans="2:11" ht="15" customHeight="1" x14ac:dyDescent="0.25">
      <c r="B80" s="29">
        <v>197</v>
      </c>
      <c r="C80" s="10" t="s">
        <v>100</v>
      </c>
      <c r="D80" s="10" t="s">
        <v>83</v>
      </c>
      <c r="E80" s="7" t="s">
        <v>10</v>
      </c>
      <c r="F80" s="5" t="s">
        <v>11</v>
      </c>
      <c r="G80" s="5" t="s">
        <v>12</v>
      </c>
      <c r="H80" s="20">
        <v>3741.41</v>
      </c>
      <c r="I80" s="20">
        <f>3741.41+62.36</f>
        <v>3803.77</v>
      </c>
      <c r="J80" s="35">
        <f>411.55+337.55</f>
        <v>749.1</v>
      </c>
      <c r="K80" s="45">
        <f>Tabela4[[#This Row],[Rem. Bruta (2)]]-Tabela4[[#This Row],[Descontos]]</f>
        <v>3054.67</v>
      </c>
    </row>
    <row r="81" spans="2:11" ht="15" customHeight="1" x14ac:dyDescent="0.25">
      <c r="B81" s="29">
        <v>143</v>
      </c>
      <c r="C81" s="10" t="s">
        <v>80</v>
      </c>
      <c r="D81" s="9" t="s">
        <v>152</v>
      </c>
      <c r="E81" s="7" t="s">
        <v>10</v>
      </c>
      <c r="F81" s="5" t="s">
        <v>68</v>
      </c>
      <c r="G81" s="5" t="s">
        <v>12</v>
      </c>
      <c r="H81" s="20">
        <v>3741.41</v>
      </c>
      <c r="I81" s="20">
        <f>2618.98+3.72+14.87+380.34+1122.43</f>
        <v>4140.34</v>
      </c>
      <c r="J81" s="35">
        <f>123.28+50.77+211.38</f>
        <v>385.43</v>
      </c>
      <c r="K81" s="45">
        <f>Tabela4[[#This Row],[Rem. Bruta (2)]]-Tabela4[[#This Row],[Descontos]]</f>
        <v>3754.9100000000003</v>
      </c>
    </row>
    <row r="82" spans="2:11" ht="15" customHeight="1" x14ac:dyDescent="0.25">
      <c r="B82" s="29">
        <v>3</v>
      </c>
      <c r="C82" s="10" t="s">
        <v>54</v>
      </c>
      <c r="D82" s="10" t="s">
        <v>28</v>
      </c>
      <c r="E82" s="18" t="s">
        <v>24</v>
      </c>
      <c r="F82" s="19" t="s">
        <v>21</v>
      </c>
      <c r="G82" s="5" t="s">
        <v>12</v>
      </c>
      <c r="H82" s="20">
        <v>16978.09</v>
      </c>
      <c r="I82" s="20">
        <f>14148.41+943.23+2829.68+346.15</f>
        <v>18267.47</v>
      </c>
      <c r="J82" s="35">
        <f>1556.32+346.15+988.07+1249.23</f>
        <v>4139.7700000000004</v>
      </c>
      <c r="K82" s="45">
        <f>Tabela4[[#This Row],[Rem. Bruta (2)]]-Tabela4[[#This Row],[Descontos]]</f>
        <v>14127.7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f>2273.85+8.28+20.01+4.81+0.61+2.46+758.97+2273.85</f>
        <v>5342.84</v>
      </c>
      <c r="J83" s="35">
        <f>257.71+108.48+183.3</f>
        <v>549.49</v>
      </c>
      <c r="K83" s="45">
        <f>Tabela4[[#This Row],[Rem. Bruta (2)]]-Tabela4[[#This Row],[Descontos]]</f>
        <v>4793.3500000000004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3031.8+4.91+11.89+2.86+0.24+0.98+505.71+1515.9</f>
        <v>5074.29</v>
      </c>
      <c r="J84" s="35">
        <f>159.28+97.86+254.76</f>
        <v>511.9</v>
      </c>
      <c r="K84" s="45">
        <f>Tabela4[[#This Row],[Rem. Bruta (2)]]-Tabela4[[#This Row],[Descontos]]</f>
        <v>4562.3900000000003</v>
      </c>
    </row>
    <row r="85" spans="2:11" ht="15" customHeight="1" x14ac:dyDescent="0.25">
      <c r="B85" s="29">
        <v>600</v>
      </c>
      <c r="C85" s="11" t="s">
        <v>151</v>
      </c>
      <c r="D85" s="9" t="s">
        <v>152</v>
      </c>
      <c r="E85" s="7" t="s">
        <v>14</v>
      </c>
      <c r="F85" s="19" t="s">
        <v>68</v>
      </c>
      <c r="G85" s="5" t="s">
        <v>12</v>
      </c>
      <c r="H85" s="20">
        <v>3741.41</v>
      </c>
      <c r="I85" s="20">
        <v>3741.41</v>
      </c>
      <c r="J85" s="35">
        <f>337.55+312.41+224.48</f>
        <v>874.44</v>
      </c>
      <c r="K85" s="45">
        <f>Tabela4[[#This Row],[Rem. Bruta (2)]]-Tabela4[[#This Row],[Descontos]]</f>
        <v>2866.97</v>
      </c>
    </row>
    <row r="86" spans="2:11" ht="15" customHeight="1" x14ac:dyDescent="0.25">
      <c r="B86" s="29">
        <v>18</v>
      </c>
      <c r="C86" s="9" t="s">
        <v>57</v>
      </c>
      <c r="D86" s="9" t="s">
        <v>77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f>2327.98+776+2327.99</f>
        <v>5431.9699999999993</v>
      </c>
      <c r="J86" s="35">
        <f>265.88+110.9+185.19</f>
        <v>561.97</v>
      </c>
      <c r="K86" s="45">
        <f>Tabela4[[#This Row],[Rem. Bruta (2)]]-Tabela4[[#This Row],[Descontos]]</f>
        <v>4869.9999999999991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3284.86+985.46</f>
        <v>4270.32</v>
      </c>
      <c r="J87" s="35">
        <f>361.33+401.02</f>
        <v>762.34999999999991</v>
      </c>
      <c r="K87" s="45">
        <f>Tabela4[[#This Row],[Rem. Bruta (2)]]-Tabela4[[#This Row],[Descontos]]</f>
        <v>3507.97</v>
      </c>
    </row>
    <row r="88" spans="2:11" ht="15" customHeight="1" x14ac:dyDescent="0.25">
      <c r="B88" s="29">
        <v>164</v>
      </c>
      <c r="C88" s="10" t="s">
        <v>89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f>3367.27+374.14+0.37+62.36</f>
        <v>3804.14</v>
      </c>
      <c r="J88" s="35">
        <f>337.6</f>
        <v>337.6</v>
      </c>
      <c r="K88" s="45">
        <f>Tabela4[[#This Row],[Rem. Bruta (2)]]-Tabela4[[#This Row],[Descontos]]</f>
        <v>3466.54</v>
      </c>
    </row>
    <row r="89" spans="2:11" ht="15" customHeight="1" x14ac:dyDescent="0.25">
      <c r="B89" s="29">
        <v>532</v>
      </c>
      <c r="C89" s="10" t="s">
        <v>132</v>
      </c>
      <c r="D89" s="10" t="s">
        <v>108</v>
      </c>
      <c r="E89" s="7" t="s">
        <v>10</v>
      </c>
      <c r="F89" s="8" t="s">
        <v>68</v>
      </c>
      <c r="G89" s="5" t="s">
        <v>12</v>
      </c>
      <c r="H89" s="20">
        <v>3741.41</v>
      </c>
      <c r="I89" s="20">
        <f>3741.41</f>
        <v>3741.41</v>
      </c>
      <c r="J89" s="35">
        <f>337.55+224.48+23.65</f>
        <v>585.67999999999995</v>
      </c>
      <c r="K89" s="45">
        <f>Tabela4[[#This Row],[Rem. Bruta (2)]]-Tabela4[[#This Row],[Descontos]]</f>
        <v>3155.73</v>
      </c>
    </row>
    <row r="90" spans="2:11" ht="15" customHeight="1" x14ac:dyDescent="0.25">
      <c r="B90" s="30">
        <v>218</v>
      </c>
      <c r="C90" s="31" t="s">
        <v>111</v>
      </c>
      <c r="D90" s="9" t="s">
        <v>152</v>
      </c>
      <c r="E90" s="22" t="s">
        <v>10</v>
      </c>
      <c r="F90" s="32" t="s">
        <v>68</v>
      </c>
      <c r="G90" s="21" t="s">
        <v>12</v>
      </c>
      <c r="H90" s="34">
        <v>3741.41</v>
      </c>
      <c r="I90" s="20">
        <f>2743.7+3.47+16.09+339.09+997.71</f>
        <v>4100.0599999999995</v>
      </c>
      <c r="J90" s="20">
        <f>138.98+19+222.61+82.38+164.62</f>
        <v>627.59</v>
      </c>
      <c r="K90" s="45">
        <f>Tabela4[[#This Row],[Rem. Bruta (2)]]-Tabela4[[#This Row],[Descontos]]</f>
        <v>3472.4699999999993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f>80</f>
        <v>80</v>
      </c>
      <c r="C92" s="40" t="s">
        <v>153</v>
      </c>
      <c r="D92" s="44" t="s">
        <v>145</v>
      </c>
      <c r="E92" s="44">
        <v>1</v>
      </c>
      <c r="H92" s="42" t="s">
        <v>134</v>
      </c>
      <c r="I92" s="43">
        <f>SUM(I10:I90)</f>
        <v>488563.54999999981</v>
      </c>
      <c r="J92" s="43">
        <f>SUM(J10:J90)</f>
        <v>96525.52</v>
      </c>
      <c r="K92" s="43">
        <f>SUM(K10:K90)</f>
        <v>392038.0299999998</v>
      </c>
    </row>
    <row r="93" spans="2:11" x14ac:dyDescent="0.25">
      <c r="B93" s="41">
        <v>1</v>
      </c>
      <c r="C93" s="40" t="s">
        <v>157</v>
      </c>
      <c r="D93" s="44" t="s">
        <v>146</v>
      </c>
      <c r="E93" s="44">
        <v>0</v>
      </c>
    </row>
    <row r="94" spans="2:11" x14ac:dyDescent="0.25">
      <c r="B94" s="41">
        <v>0</v>
      </c>
      <c r="C94" s="40" t="s">
        <v>139</v>
      </c>
      <c r="D94" s="44"/>
      <c r="E94" s="44"/>
    </row>
    <row r="95" spans="2:11" x14ac:dyDescent="0.25">
      <c r="B95" s="41">
        <f>B92+B93-B94</f>
        <v>81</v>
      </c>
      <c r="C95" s="40" t="s">
        <v>154</v>
      </c>
    </row>
    <row r="96" spans="2:11" s="3" customFormat="1" x14ac:dyDescent="0.25">
      <c r="B96" s="44" t="s">
        <v>144</v>
      </c>
      <c r="C96" s="2"/>
      <c r="F96" s="23"/>
      <c r="G96" s="23"/>
      <c r="H96" s="2"/>
      <c r="I96" s="12"/>
      <c r="J96" s="2"/>
      <c r="K96" s="13"/>
    </row>
    <row r="97" spans="1:12" x14ac:dyDescent="0.25">
      <c r="B97" s="46" t="s">
        <v>143</v>
      </c>
      <c r="C97" s="46"/>
      <c r="D97" s="46"/>
      <c r="E97" s="46"/>
      <c r="F97" s="46"/>
      <c r="G97" s="46"/>
      <c r="H97" s="46"/>
      <c r="I97" s="46"/>
      <c r="J97" s="46"/>
      <c r="K97" s="46"/>
    </row>
    <row r="98" spans="1:12" x14ac:dyDescent="0.25">
      <c r="B98" s="46" t="s">
        <v>138</v>
      </c>
      <c r="C98" s="46"/>
      <c r="D98" s="46"/>
      <c r="E98" s="46"/>
      <c r="F98" s="46"/>
      <c r="G98" s="46"/>
      <c r="H98" s="46"/>
      <c r="I98" s="46"/>
      <c r="J98" s="46"/>
      <c r="K98" s="46"/>
    </row>
    <row r="99" spans="1:12" x14ac:dyDescent="0.25">
      <c r="B99" s="46" t="s">
        <v>140</v>
      </c>
      <c r="C99" s="46"/>
      <c r="D99" s="46"/>
      <c r="E99" s="46"/>
      <c r="F99" s="46"/>
      <c r="G99" s="46"/>
      <c r="H99" s="46"/>
      <c r="I99" s="46"/>
      <c r="J99" s="46"/>
      <c r="K99" s="46"/>
    </row>
    <row r="102" spans="1:12" s="3" customFormat="1" x14ac:dyDescent="0.25">
      <c r="A102"/>
      <c r="B102" s="1"/>
      <c r="C102" s="4"/>
      <c r="D102"/>
      <c r="E102"/>
      <c r="F102" s="2"/>
      <c r="G102" s="2"/>
      <c r="H102" s="2"/>
      <c r="I102" s="2"/>
      <c r="J102" s="2"/>
      <c r="K102" s="2"/>
      <c r="L102"/>
    </row>
    <row r="103" spans="1:12" s="3" customFormat="1" x14ac:dyDescent="0.25">
      <c r="A103"/>
      <c r="B103" s="1"/>
      <c r="C103" s="4"/>
      <c r="D103"/>
      <c r="E103"/>
      <c r="F103" s="1"/>
      <c r="G103" s="1"/>
      <c r="H103" s="2"/>
      <c r="I103" s="12"/>
      <c r="J103" s="2"/>
      <c r="K103" s="2"/>
      <c r="L103"/>
    </row>
  </sheetData>
  <mergeCells count="8">
    <mergeCell ref="B97:K97"/>
    <mergeCell ref="B98:K98"/>
    <mergeCell ref="B99:K99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JANEIRO</vt:lpstr>
      <vt:lpstr>JANEIRO!Area_de_impressao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2026-03-10T12:42:01Z</dcterms:modified>
</cp:coreProperties>
</file>