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1 DEMONSTRATIVO REMUNERAÇÃO\2 PUBLICAÇÃO SITE\"/>
    </mc:Choice>
  </mc:AlternateContent>
  <bookViews>
    <workbookView xWindow="-120" yWindow="-120" windowWidth="29040" windowHeight="15720"/>
  </bookViews>
  <sheets>
    <sheet name="Maio" sheetId="3" r:id="rId1"/>
  </sheets>
  <definedNames>
    <definedName name="_xlnm.Print_Area" localSheetId="0">Maio!$A$1:$K$101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6" i="3" l="1"/>
  <c r="J91" i="3" l="1"/>
  <c r="J90" i="3"/>
  <c r="J86" i="3"/>
  <c r="J77" i="3"/>
  <c r="I77" i="3"/>
  <c r="J70" i="3"/>
  <c r="I70" i="3"/>
  <c r="J69" i="3"/>
  <c r="I69" i="3"/>
  <c r="J65" i="3"/>
  <c r="I65" i="3"/>
  <c r="J62" i="3"/>
  <c r="I62" i="3"/>
  <c r="J58" i="3"/>
  <c r="J55" i="3"/>
  <c r="J54" i="3"/>
  <c r="J49" i="3"/>
  <c r="I49" i="3"/>
  <c r="J46" i="3"/>
  <c r="I46" i="3"/>
  <c r="J36" i="3"/>
  <c r="I36" i="3"/>
  <c r="J32" i="3"/>
  <c r="I32" i="3"/>
  <c r="J31" i="3"/>
  <c r="J28" i="3"/>
  <c r="I25" i="3"/>
  <c r="J25" i="3"/>
  <c r="J24" i="3"/>
  <c r="J22" i="3"/>
  <c r="K22" i="3" s="1"/>
  <c r="J14" i="3"/>
  <c r="I87" i="3"/>
  <c r="J83" i="3"/>
  <c r="I83" i="3"/>
  <c r="J75" i="3"/>
  <c r="I75" i="3"/>
  <c r="J52" i="3"/>
  <c r="I52" i="3"/>
  <c r="J47" i="3"/>
  <c r="I47" i="3"/>
  <c r="I43" i="3"/>
  <c r="J21" i="3"/>
  <c r="I21" i="3"/>
  <c r="J20" i="3"/>
  <c r="I79" i="3"/>
  <c r="J79" i="3"/>
  <c r="J71" i="3"/>
  <c r="I71" i="3"/>
  <c r="J53" i="3"/>
  <c r="I53" i="3"/>
  <c r="J30" i="3"/>
  <c r="J89" i="3"/>
  <c r="I89" i="3"/>
  <c r="I88" i="3"/>
  <c r="I81" i="3"/>
  <c r="J57" i="3"/>
  <c r="I57" i="3"/>
  <c r="J44" i="3"/>
  <c r="I44" i="3"/>
  <c r="I42" i="3"/>
  <c r="J42" i="3"/>
  <c r="I38" i="3"/>
  <c r="J27" i="3"/>
  <c r="I27" i="3"/>
  <c r="J10" i="3"/>
  <c r="I10" i="3"/>
  <c r="J78" i="3"/>
  <c r="I78" i="3"/>
  <c r="J76" i="3"/>
  <c r="J73" i="3"/>
  <c r="I73" i="3"/>
  <c r="J68" i="3"/>
  <c r="J66" i="3"/>
  <c r="I60" i="3"/>
  <c r="J50" i="3"/>
  <c r="I50" i="3"/>
  <c r="I45" i="3"/>
  <c r="J39" i="3"/>
  <c r="J37" i="3"/>
  <c r="I37" i="3"/>
  <c r="J29" i="3"/>
  <c r="I29" i="3"/>
  <c r="J23" i="3"/>
  <c r="I23" i="3"/>
  <c r="J18" i="3"/>
  <c r="J12" i="3"/>
  <c r="I12" i="3"/>
  <c r="K51" i="3" l="1"/>
  <c r="I93" i="3" l="1"/>
  <c r="J93" i="3"/>
  <c r="K63" i="3"/>
  <c r="K47" i="3"/>
  <c r="K35" i="3"/>
  <c r="K30" i="3"/>
  <c r="K81" i="3"/>
  <c r="K56" i="3"/>
  <c r="K42" i="3"/>
  <c r="K40" i="3"/>
  <c r="K18" i="3"/>
  <c r="K11" i="3"/>
  <c r="K12" i="3"/>
  <c r="K13" i="3"/>
  <c r="K14" i="3"/>
  <c r="K15" i="3"/>
  <c r="K16" i="3"/>
  <c r="K17" i="3"/>
  <c r="K19" i="3"/>
  <c r="K20" i="3"/>
  <c r="K21" i="3"/>
  <c r="K23" i="3"/>
  <c r="K24" i="3"/>
  <c r="K25" i="3"/>
  <c r="K26" i="3"/>
  <c r="K27" i="3"/>
  <c r="K28" i="3"/>
  <c r="K29" i="3"/>
  <c r="K31" i="3"/>
  <c r="K32" i="3"/>
  <c r="K33" i="3"/>
  <c r="K34" i="3"/>
  <c r="K36" i="3"/>
  <c r="K37" i="3"/>
  <c r="K38" i="3"/>
  <c r="K39" i="3"/>
  <c r="K41" i="3"/>
  <c r="K43" i="3"/>
  <c r="K44" i="3"/>
  <c r="K45" i="3"/>
  <c r="K46" i="3"/>
  <c r="K48" i="3"/>
  <c r="K49" i="3"/>
  <c r="K50" i="3"/>
  <c r="K52" i="3"/>
  <c r="K53" i="3"/>
  <c r="K54" i="3"/>
  <c r="K55" i="3"/>
  <c r="K57" i="3"/>
  <c r="K58" i="3"/>
  <c r="K59" i="3"/>
  <c r="K60" i="3"/>
  <c r="K61" i="3"/>
  <c r="K62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2" i="3"/>
  <c r="K83" i="3"/>
  <c r="K84" i="3"/>
  <c r="K85" i="3"/>
  <c r="K86" i="3"/>
  <c r="K87" i="3"/>
  <c r="K88" i="3"/>
  <c r="K89" i="3"/>
  <c r="K90" i="3"/>
  <c r="K91" i="3"/>
  <c r="K10" i="3"/>
  <c r="K93" i="3" l="1"/>
</calcChain>
</file>

<file path=xl/sharedStrings.xml><?xml version="1.0" encoding="utf-8"?>
<sst xmlns="http://schemas.openxmlformats.org/spreadsheetml/2006/main" count="435" uniqueCount="167">
  <si>
    <t>Matrícula</t>
  </si>
  <si>
    <t>Nome</t>
  </si>
  <si>
    <t>Cargo</t>
  </si>
  <si>
    <t>Carga Horária</t>
  </si>
  <si>
    <t>Data Desligamento</t>
  </si>
  <si>
    <t>Salário Base (1)</t>
  </si>
  <si>
    <t>Rem. Bruta (2)</t>
  </si>
  <si>
    <t>Descontos</t>
  </si>
  <si>
    <t>Líquido Recebido</t>
  </si>
  <si>
    <t>Assistente Adm. Museu TS C Nível I Grau A</t>
  </si>
  <si>
    <t>40 horas semanais</t>
  </si>
  <si>
    <t>Museu Felícia Leirner/ Aud. Claudio Santoro</t>
  </si>
  <si>
    <t>Vínculo Ativo</t>
  </si>
  <si>
    <t>Assistente Programação TS C Nível I Grau I</t>
  </si>
  <si>
    <t xml:space="preserve">40 horas semanais </t>
  </si>
  <si>
    <t>Sede Organização Social</t>
  </si>
  <si>
    <t>Amélia Aparecida Scozzafave Franzoni</t>
  </si>
  <si>
    <t>20 horas semanais</t>
  </si>
  <si>
    <t>Museu Casa de Portinari</t>
  </si>
  <si>
    <t>Educador TS C Nível I Grau A</t>
  </si>
  <si>
    <t xml:space="preserve">Museu Casa de Portinari </t>
  </si>
  <si>
    <t>Museu Índia Vanuíre</t>
  </si>
  <si>
    <t>Angelica Policeno Fabbri</t>
  </si>
  <si>
    <t>Diretora Executiva</t>
  </si>
  <si>
    <t>Cargo de Confiança Artigo 62, II CLT</t>
  </si>
  <si>
    <t>Carla Pereira Lima</t>
  </si>
  <si>
    <t>Educador TS C Nível I Grau B</t>
  </si>
  <si>
    <t>Cristiane Maria Patrici</t>
  </si>
  <si>
    <t>Gerente UN TS G Nível I Grau D</t>
  </si>
  <si>
    <t>Débora Roque Fifolato</t>
  </si>
  <si>
    <t>Eliane Aparecida Colsera</t>
  </si>
  <si>
    <t>Fabricio Barbosa dos Santos</t>
  </si>
  <si>
    <t>Fernanda Carolina da Costa Bergamo</t>
  </si>
  <si>
    <t>Flávia Agostinho</t>
  </si>
  <si>
    <t>Frederico David de Souza</t>
  </si>
  <si>
    <t>Gabriela da Silva Sanches Delboni</t>
  </si>
  <si>
    <t>Gessiara Goes de Lima</t>
  </si>
  <si>
    <t>Assistente Programação TS C Nível I Grau G</t>
  </si>
  <si>
    <t>Isaltina Santos da Costa Oliveira</t>
  </si>
  <si>
    <t>Educador TS C Nível I Grau E</t>
  </si>
  <si>
    <t>Assistente de Edificação TS C Nível I Grau A</t>
  </si>
  <si>
    <t>Leonardo Toshio Furukawa</t>
  </si>
  <si>
    <t>Lilian Budaibes Zorato</t>
  </si>
  <si>
    <t>Luis Fernando Marques</t>
  </si>
  <si>
    <t>Luiz Antonio Bergamo</t>
  </si>
  <si>
    <t>Diretor Administrativo Financeiro</t>
  </si>
  <si>
    <t>Márcia Regina Adami Ferrari</t>
  </si>
  <si>
    <t>Analista Adm. Executivo TS E Nível I Grau I</t>
  </si>
  <si>
    <t>Matheus Cardozo Maia</t>
  </si>
  <si>
    <t>Mônica Luzente Sestari</t>
  </si>
  <si>
    <t>Assistente de Acervo TS D Nível I Grau A</t>
  </si>
  <si>
    <t>Raquel Maria Fonseca M. S. de Luna</t>
  </si>
  <si>
    <t>Reginaldo Adami Janoni</t>
  </si>
  <si>
    <t>Coord. Financ. Contábil TS F Nível I Grau I</t>
  </si>
  <si>
    <t>Tamimi David Rayes Borsatto</t>
  </si>
  <si>
    <t>Uiara Potira Ribeiro</t>
  </si>
  <si>
    <t>Valquiria Cristina Martins</t>
  </si>
  <si>
    <t>Viviani Micheli Gonela Bononi Justino</t>
  </si>
  <si>
    <t>Weverton Candido Ferreira</t>
  </si>
  <si>
    <t>Assistente Comunicação TS C Nível I Grau A</t>
  </si>
  <si>
    <t>Oficial Manutenção Predial TS A Nível I Grau K</t>
  </si>
  <si>
    <t>Gabriela Vilas Boas Souza da Rovare</t>
  </si>
  <si>
    <t>Jessica Magri de Almeida Borella</t>
  </si>
  <si>
    <t>Gerente UN TS G Nível I Grau A</t>
  </si>
  <si>
    <t>Andreza de Lima Damião</t>
  </si>
  <si>
    <t>Assistente Financeiro TS C Nível I Grau A</t>
  </si>
  <si>
    <t>Adina Iracema Cesarino</t>
  </si>
  <si>
    <t>Davidson Panis Kaseker</t>
  </si>
  <si>
    <t>Museu das Culturas Indígenas</t>
  </si>
  <si>
    <t>Rodrigo Silva B. Lacerda de Oliveira</t>
  </si>
  <si>
    <t>Coord. Edi. Infraestrutura TS F Nível I Grau G</t>
  </si>
  <si>
    <t>Hugo Reis Ribas</t>
  </si>
  <si>
    <t>Leandra Fernandes Lucio</t>
  </si>
  <si>
    <t>Henrique Daniel</t>
  </si>
  <si>
    <t>Alfredo Joel de Castro Pizzi</t>
  </si>
  <si>
    <t>Gabriela Nascimento dos Santos</t>
  </si>
  <si>
    <t>Letícia de Mello Menezes</t>
  </si>
  <si>
    <t>Assistente Acervo TS D Nível I Grau A</t>
  </si>
  <si>
    <t>Designer TS C Nível I Grau A</t>
  </si>
  <si>
    <t>Larissa Salles Demetrio</t>
  </si>
  <si>
    <t>Sonia Barbosa de Souza</t>
  </si>
  <si>
    <t>Denise Vieira dos Santos</t>
  </si>
  <si>
    <t>Supervisor Manut. e Facilites TS F Nível I Grau E</t>
  </si>
  <si>
    <t>Assistente Programação TS C Nível I Grau A</t>
  </si>
  <si>
    <t>Analista Adm. Executivo TS E Nível I Grau G</t>
  </si>
  <si>
    <t>Ajudante de Manutenção TS A Nível II Grau A</t>
  </si>
  <si>
    <t>Assistente de Formação TS D Nível I Grau A</t>
  </si>
  <si>
    <t>Letícia Yumi Shimoda</t>
  </si>
  <si>
    <t>Willian Nascimento da Silva</t>
  </si>
  <si>
    <t>Ana Carolina Gomes Beserra da Silva</t>
  </si>
  <si>
    <t>Assistente Contábil TS C Nível I Grau A</t>
  </si>
  <si>
    <t>Cecília Gonçalves Gobbis</t>
  </si>
  <si>
    <t>Clarice Josivania da Silva</t>
  </si>
  <si>
    <t>Alexandro Araujo</t>
  </si>
  <si>
    <t>Fernanda Alves Leandro</t>
  </si>
  <si>
    <t>Sup. Projetos Culturais e Prog. Nível I Grau E</t>
  </si>
  <si>
    <t>Ronilson Rosa</t>
  </si>
  <si>
    <t>Luisa Gomes da Mota de Souza</t>
  </si>
  <si>
    <t>Assistente de Programação TS C Nível I Grau A</t>
  </si>
  <si>
    <t>Silmara Christina Carvalho</t>
  </si>
  <si>
    <t>Pesquisadora Documen. TS E Nível I Grau A</t>
  </si>
  <si>
    <t>Mateus Marques Tozelli</t>
  </si>
  <si>
    <t>Diego Ferreira da Cruz</t>
  </si>
  <si>
    <t>Isabela Vercezi Benzi</t>
  </si>
  <si>
    <t>Mara Silvia Mendes Moraes</t>
  </si>
  <si>
    <t>Kawakani Mehinako</t>
  </si>
  <si>
    <t>Assistente Administrativo TS C Nível I Grau A</t>
  </si>
  <si>
    <t xml:space="preserve">Educador TS C Nível I Grau A </t>
  </si>
  <si>
    <t>Anna Carolina Thomas de Melo Dias</t>
  </si>
  <si>
    <t>Bruno Marqueti de Lima</t>
  </si>
  <si>
    <t>Yriwana Teluira Karaja</t>
  </si>
  <si>
    <t>Aline Rosilei Vanin</t>
  </si>
  <si>
    <t>Assistente de Diretoria TS D Nível I Grau A</t>
  </si>
  <si>
    <t>Fabiano Simões da Cruz</t>
  </si>
  <si>
    <t xml:space="preserve">Assessor de Imprensa TS E Nível I Grau A </t>
  </si>
  <si>
    <t>Supervisor de Comunicação TS F Nível I Grau E</t>
  </si>
  <si>
    <t>Leandro Pires Gonçalves</t>
  </si>
  <si>
    <t>Camila Gauditano Cerqueira</t>
  </si>
  <si>
    <t>Sup. C. Pesquisa e Referência TS G Nível I Grau E</t>
  </si>
  <si>
    <t>Paula Silva Souza</t>
  </si>
  <si>
    <t>Auxiliar de Compras TS C Nível I Grau A</t>
  </si>
  <si>
    <t>Ajudante de Manutenção TS A Nível I Grau B</t>
  </si>
  <si>
    <t>Coordenadora Comunicação TS F Nível I Grau G</t>
  </si>
  <si>
    <t>Assistente Adm. Museu TS C Nível I Grau B</t>
  </si>
  <si>
    <t>Daniela Oliveira Soares</t>
  </si>
  <si>
    <t>Denise Aparecida Gomes</t>
  </si>
  <si>
    <t>Auxiliar Administrativo TS A Nível I Grau B</t>
  </si>
  <si>
    <t>Gabryelle Pereira da Silva</t>
  </si>
  <si>
    <t>Assistente de Comunicação TS C Nível I Grau A</t>
  </si>
  <si>
    <t>Rhakany Aruani Alves Jacintho</t>
  </si>
  <si>
    <t>Yanka Maria Lima Godinho</t>
  </si>
  <si>
    <t>Local Trabalho (Equipamento Cultural)</t>
  </si>
  <si>
    <t>Total:</t>
  </si>
  <si>
    <t>Associação Cultural de Apoio ao Museu Casa de Portinari - Organização Social de Cultura</t>
  </si>
  <si>
    <t>Demonstrativo de Remuneração de Funcionários - Regime CLT</t>
  </si>
  <si>
    <t>Mês:</t>
  </si>
  <si>
    <t>(2) - Remuneração Bruta composta por Salário, Férias e Verbas Remuneratórias determinadas pelas legislações vigentes (CLT / CCT).</t>
  </si>
  <si>
    <t>:Quantidade de Vínculos Desligados</t>
  </si>
  <si>
    <t>(3) - Os Vínculos com valores zerados decorrem de situações previstas na legislação trabalhista.</t>
  </si>
  <si>
    <t>Governo do Estado de São Paulo - Secretaria da Cultura, Economia e Indústrias Criativas</t>
  </si>
  <si>
    <t>Recursos para Custeio da Folha de Salários: Contrato de Gestão n.º 04 / 2021</t>
  </si>
  <si>
    <t>(1) - Salário Base: Valor definido na tabela salarial do Plano de Cargos, Salários e Benefícios de acordo com o nível e o grau do cargo correspondente.</t>
  </si>
  <si>
    <t>Notas</t>
  </si>
  <si>
    <t>Quantidade de Admissões</t>
  </si>
  <si>
    <t>Quantidade de Desligamentos</t>
  </si>
  <si>
    <t>Katia de Carvalho Lazarini</t>
  </si>
  <si>
    <t>Sup. Núcleo Educativo TS F Nível I Grau E</t>
  </si>
  <si>
    <t>Técnico em Desenv. Instit. TS D Nível I Grau A</t>
  </si>
  <si>
    <t>Edney dos Santos Nascimento</t>
  </si>
  <si>
    <t>Viviane Benite de Souza</t>
  </si>
  <si>
    <t>Mestre dos Saberes TS C Nível I Grau A</t>
  </si>
  <si>
    <t>:Quantidade de Vínculos Inicial</t>
  </si>
  <si>
    <t>:Quantidade de Vínculos Final</t>
  </si>
  <si>
    <t>Sup. Centro de Formação TS F Nível I Grau E</t>
  </si>
  <si>
    <t>Aly David Arturo Yamall Orellana</t>
  </si>
  <si>
    <t>:Quantidade de Vínculos Admitidos</t>
  </si>
  <si>
    <t>Dimas Luppi Kubo</t>
  </si>
  <si>
    <t>Bianca dos Santos Gomes</t>
  </si>
  <si>
    <t>Marcus Vinicius Bernardino de Souza</t>
  </si>
  <si>
    <t>Emerson Chaves de Oliveira</t>
  </si>
  <si>
    <t>Exercício: 2026</t>
  </si>
  <si>
    <t xml:space="preserve">Raquel Costa da Silva </t>
  </si>
  <si>
    <t>Santiago de Jesus Monteiro</t>
  </si>
  <si>
    <t>40 horas semanasi</t>
  </si>
  <si>
    <t>Leandro dos Santos Adduci</t>
  </si>
  <si>
    <t>Maio</t>
  </si>
  <si>
    <t>Isaías dos Anjos Borja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</si>
</sst>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rgb="FF0000FF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8" fillId="0" borderId="1" xfId="0" applyFont="1" applyBorder="1" applyAlignment="1" applyProtection="1">
      <alignment horizontal="left" wrapText="1"/>
      <protection hidden="1"/>
    </xf>
    <xf numFmtId="14" fontId="8" fillId="0" borderId="1" xfId="0" applyNumberFormat="1" applyFont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/>
    <xf numFmtId="44" fontId="3" fillId="0" borderId="0" xfId="0" applyNumberFormat="1" applyFont="1"/>
    <xf numFmtId="44" fontId="8" fillId="0" borderId="1" xfId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44" fontId="8" fillId="0" borderId="1" xfId="1" applyFont="1" applyFill="1" applyBorder="1"/>
    <xf numFmtId="0" fontId="0" fillId="0" borderId="4" xfId="0" applyBorder="1" applyAlignment="1">
      <alignment horizontal="center"/>
    </xf>
    <xf numFmtId="14" fontId="8" fillId="0" borderId="4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4" fillId="0" borderId="0" xfId="0" applyFont="1"/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4" xfId="0" applyFont="1" applyBorder="1" applyAlignment="1" applyProtection="1">
      <alignment horizontal="left" vertical="center"/>
      <protection hidden="1"/>
    </xf>
    <xf numFmtId="0" fontId="8" fillId="0" borderId="4" xfId="0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center"/>
    </xf>
    <xf numFmtId="44" fontId="8" fillId="0" borderId="4" xfId="1" applyFont="1" applyFill="1" applyBorder="1"/>
    <xf numFmtId="44" fontId="8" fillId="0" borderId="3" xfId="1" applyFont="1" applyFill="1" applyBorder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44" fontId="14" fillId="0" borderId="0" xfId="0" applyNumberFormat="1" applyFont="1"/>
    <xf numFmtId="0" fontId="12" fillId="0" borderId="0" xfId="0" applyFont="1" applyAlignment="1">
      <alignment horizontal="left"/>
    </xf>
    <xf numFmtId="44" fontId="1" fillId="0" borderId="1" xfId="1" applyFont="1" applyFill="1" applyBorder="1"/>
    <xf numFmtId="14" fontId="0" fillId="0" borderId="1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3">
    <cellStyle name="Moeda" xfId="1" builtinId="4"/>
    <cellStyle name="Moeda 2" xfId="2"/>
    <cellStyle name="Normal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R$&quot;\ * #,##0.00_-;\-&quot;R$&quot;\ * #,##0.00_-;_-&quot;R$&quot;\ * &quot;-&quot;??_-;_-@_-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129887</xdr:colOff>
      <xdr:row>2</xdr:row>
      <xdr:rowOff>8659</xdr:rowOff>
    </xdr:from>
    <xdr:to>
      <xdr:col>2</xdr:col>
      <xdr:colOff>2215862</xdr:colOff>
      <xdr:row>3</xdr:row>
      <xdr:rowOff>132484</xdr:rowOff>
    </xdr:to>
    <xdr:pic>
      <xdr:nvPicPr>
        <xdr:cNvPr id="4" name="image3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99705" y="441614"/>
          <a:ext cx="2085975" cy="314325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259771</xdr:colOff>
      <xdr:row>1</xdr:row>
      <xdr:rowOff>43295</xdr:rowOff>
    </xdr:from>
    <xdr:to>
      <xdr:col>6</xdr:col>
      <xdr:colOff>1028660</xdr:colOff>
      <xdr:row>4</xdr:row>
      <xdr:rowOff>145328</xdr:rowOff>
    </xdr:to>
    <xdr:pic>
      <xdr:nvPicPr>
        <xdr:cNvPr id="5" name="Imagem 4" descr="Documentosã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7544" y="233795"/>
          <a:ext cx="768889" cy="725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4" name="Tabela4" displayName="Tabela4" ref="B9:K91" totalsRowShown="0" headerRowDxfId="13" headerRowBorderDxfId="12" tableBorderDxfId="11" totalsRowBorderDxfId="10">
  <autoFilter ref="B9:K91"/>
  <tableColumns count="10">
    <tableColumn id="1" name="Matrícula" dataDxfId="9"/>
    <tableColumn id="2" name="Nome" dataDxfId="8"/>
    <tableColumn id="3" name="Cargo" dataDxfId="7"/>
    <tableColumn id="4" name="Carga Horária" dataDxfId="6"/>
    <tableColumn id="5" name="Local Trabalho (Equipamento Cultural)" dataDxfId="5"/>
    <tableColumn id="6" name="Data Desligamento" dataDxfId="4"/>
    <tableColumn id="7" name="Salário Base (1)" dataDxfId="3" dataCellStyle="Moeda"/>
    <tableColumn id="8" name="Rem. Bruta (2)" dataDxfId="2" dataCellStyle="Moeda"/>
    <tableColumn id="9" name="Descontos" dataDxfId="1" dataCellStyle="Moeda"/>
    <tableColumn id="10" name="Líquido Recebido" dataDxfId="0" dataCellStyle="Moeda">
      <calculatedColumnFormula>Tabela4[[#This Row],[Rem. Bruta (2)]]-Tabela4[[#This Row],[Descontos]]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5"/>
  <sheetViews>
    <sheetView showGridLines="0" tabSelected="1" topLeftCell="B1" zoomScale="120" zoomScaleNormal="120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B100" sqref="B100:K100"/>
    </sheetView>
  </sheetViews>
  <sheetFormatPr defaultRowHeight="15" x14ac:dyDescent="0.25"/>
  <cols>
    <col min="1" max="1" width="1.140625" hidden="1" customWidth="1"/>
    <col min="2" max="2" width="14.5703125" style="1" customWidth="1"/>
    <col min="3" max="3" width="35" style="4" customWidth="1"/>
    <col min="4" max="4" width="42" customWidth="1"/>
    <col min="5" max="5" width="32.28515625" customWidth="1"/>
    <col min="6" max="6" width="40" style="1" customWidth="1"/>
    <col min="7" max="7" width="21.28515625" style="1" customWidth="1"/>
    <col min="8" max="8" width="18.28515625" style="2" customWidth="1"/>
    <col min="9" max="9" width="17.42578125" style="12" customWidth="1"/>
    <col min="10" max="10" width="16.28515625" style="2" customWidth="1"/>
    <col min="11" max="11" width="20.140625" style="3" customWidth="1"/>
    <col min="12" max="12" width="2.5703125" customWidth="1"/>
  </cols>
  <sheetData>
    <row r="2" spans="2:11" ht="18.75" x14ac:dyDescent="0.3">
      <c r="C2" s="36"/>
      <c r="D2" s="47" t="s">
        <v>133</v>
      </c>
      <c r="E2" s="47"/>
      <c r="F2" s="47"/>
      <c r="G2" s="36"/>
      <c r="H2" s="36"/>
      <c r="I2" s="36"/>
    </row>
    <row r="3" spans="2:11" ht="15" customHeight="1" x14ac:dyDescent="0.25">
      <c r="C3" s="36"/>
      <c r="D3" s="48" t="s">
        <v>134</v>
      </c>
      <c r="E3" s="48"/>
      <c r="F3" s="48"/>
      <c r="G3" s="36"/>
      <c r="H3" s="36"/>
      <c r="I3" s="36"/>
    </row>
    <row r="4" spans="2:11" ht="15" customHeight="1" x14ac:dyDescent="0.25">
      <c r="C4" s="36"/>
      <c r="D4" s="48" t="s">
        <v>140</v>
      </c>
      <c r="E4" s="48"/>
      <c r="F4" s="48"/>
      <c r="G4" s="36"/>
      <c r="H4" s="36"/>
      <c r="I4" s="36"/>
    </row>
    <row r="5" spans="2:11" ht="15" customHeight="1" x14ac:dyDescent="0.3">
      <c r="C5" s="36"/>
      <c r="D5" s="49" t="s">
        <v>139</v>
      </c>
      <c r="E5" s="49"/>
      <c r="F5" s="49"/>
      <c r="G5" s="36"/>
      <c r="H5" s="36"/>
      <c r="I5" s="36"/>
    </row>
    <row r="6" spans="2:11" ht="15" customHeight="1" x14ac:dyDescent="0.25">
      <c r="C6" s="36"/>
      <c r="D6" s="39"/>
      <c r="E6" s="39"/>
      <c r="F6" s="39"/>
      <c r="G6" s="36"/>
      <c r="H6" s="36"/>
      <c r="I6" s="36"/>
    </row>
    <row r="7" spans="2:11" ht="15" customHeight="1" x14ac:dyDescent="0.3">
      <c r="C7" s="36"/>
      <c r="D7" s="38" t="s">
        <v>135</v>
      </c>
      <c r="E7" s="37" t="s">
        <v>165</v>
      </c>
      <c r="F7" s="37" t="s">
        <v>160</v>
      </c>
      <c r="G7" s="36"/>
      <c r="H7" s="36"/>
      <c r="I7" s="36"/>
    </row>
    <row r="8" spans="2:11" ht="15" customHeight="1" x14ac:dyDescent="0.25">
      <c r="E8" s="3"/>
      <c r="F8"/>
      <c r="G8"/>
      <c r="I8" s="50"/>
      <c r="J8" s="50"/>
      <c r="K8" s="50"/>
    </row>
    <row r="9" spans="2:11" s="33" customFormat="1" x14ac:dyDescent="0.25">
      <c r="B9" s="25" t="s">
        <v>0</v>
      </c>
      <c r="C9" s="26" t="s">
        <v>1</v>
      </c>
      <c r="D9" s="26" t="s">
        <v>2</v>
      </c>
      <c r="E9" s="26" t="s">
        <v>3</v>
      </c>
      <c r="F9" s="26" t="s">
        <v>131</v>
      </c>
      <c r="G9" s="27" t="s">
        <v>4</v>
      </c>
      <c r="H9" s="26" t="s">
        <v>5</v>
      </c>
      <c r="I9" s="26" t="s">
        <v>6</v>
      </c>
      <c r="J9" s="25" t="s">
        <v>7</v>
      </c>
      <c r="K9" s="27" t="s">
        <v>8</v>
      </c>
    </row>
    <row r="10" spans="2:11" s="1" customFormat="1" x14ac:dyDescent="0.25">
      <c r="B10" s="29">
        <v>92</v>
      </c>
      <c r="C10" s="15" t="s">
        <v>66</v>
      </c>
      <c r="D10" s="16" t="s">
        <v>9</v>
      </c>
      <c r="E10" s="5" t="s">
        <v>10</v>
      </c>
      <c r="F10" s="5" t="s">
        <v>11</v>
      </c>
      <c r="G10" s="17" t="s">
        <v>12</v>
      </c>
      <c r="H10" s="14">
        <v>3891.07</v>
      </c>
      <c r="I10" s="14">
        <f>3891.07+64.85</f>
        <v>3955.92</v>
      </c>
      <c r="J10" s="35">
        <f>355.51</f>
        <v>355.51</v>
      </c>
      <c r="K10" s="45">
        <f>Tabela4[[#This Row],[Rem. Bruta (2)]]-Tabela4[[#This Row],[Descontos]]</f>
        <v>3600.41</v>
      </c>
    </row>
    <row r="11" spans="2:11" s="1" customFormat="1" x14ac:dyDescent="0.25">
      <c r="B11" s="29">
        <v>178</v>
      </c>
      <c r="C11" s="15" t="s">
        <v>93</v>
      </c>
      <c r="D11" s="16" t="s">
        <v>19</v>
      </c>
      <c r="E11" s="5" t="s">
        <v>10</v>
      </c>
      <c r="F11" s="5" t="s">
        <v>18</v>
      </c>
      <c r="G11" s="17" t="s">
        <v>12</v>
      </c>
      <c r="H11" s="14">
        <v>3891.07</v>
      </c>
      <c r="I11" s="14">
        <v>3891.07</v>
      </c>
      <c r="J11" s="35">
        <v>355.51</v>
      </c>
      <c r="K11" s="45">
        <f>Tabela4[[#This Row],[Rem. Bruta (2)]]-Tabela4[[#This Row],[Descontos]]</f>
        <v>3535.5600000000004</v>
      </c>
    </row>
    <row r="12" spans="2:11" s="1" customFormat="1" x14ac:dyDescent="0.25">
      <c r="B12" s="29">
        <v>135</v>
      </c>
      <c r="C12" s="15" t="s">
        <v>74</v>
      </c>
      <c r="D12" s="16" t="s">
        <v>90</v>
      </c>
      <c r="E12" s="5" t="s">
        <v>10</v>
      </c>
      <c r="F12" s="5" t="s">
        <v>15</v>
      </c>
      <c r="G12" s="17" t="s">
        <v>12</v>
      </c>
      <c r="H12" s="14">
        <v>3891.07</v>
      </c>
      <c r="I12" s="14">
        <f>3242.56+0.02+0.1+216.21+648.51+0.05+0.19+432.42+1297.02</f>
        <v>5837.08</v>
      </c>
      <c r="J12" s="35">
        <f>64.86+38.92+277.69</f>
        <v>381.47</v>
      </c>
      <c r="K12" s="45">
        <f>Tabela4[[#This Row],[Rem. Bruta (2)]]-Tabela4[[#This Row],[Descontos]]</f>
        <v>5455.61</v>
      </c>
    </row>
    <row r="13" spans="2:11" s="1" customFormat="1" x14ac:dyDescent="0.25">
      <c r="B13" s="29">
        <v>221</v>
      </c>
      <c r="C13" s="15" t="s">
        <v>111</v>
      </c>
      <c r="D13" s="16" t="s">
        <v>19</v>
      </c>
      <c r="E13" s="5" t="s">
        <v>10</v>
      </c>
      <c r="F13" s="5" t="s">
        <v>18</v>
      </c>
      <c r="G13" s="17" t="s">
        <v>12</v>
      </c>
      <c r="H13" s="14">
        <v>3891.07</v>
      </c>
      <c r="I13" s="14">
        <v>3891.07</v>
      </c>
      <c r="J13" s="35">
        <v>355.51</v>
      </c>
      <c r="K13" s="45">
        <f>Tabela4[[#This Row],[Rem. Bruta (2)]]-Tabela4[[#This Row],[Descontos]]</f>
        <v>3535.5600000000004</v>
      </c>
    </row>
    <row r="14" spans="2:11" s="1" customFormat="1" x14ac:dyDescent="0.25">
      <c r="B14" s="29">
        <v>610</v>
      </c>
      <c r="C14" s="15" t="s">
        <v>154</v>
      </c>
      <c r="D14" s="16" t="s">
        <v>153</v>
      </c>
      <c r="E14" s="5" t="s">
        <v>24</v>
      </c>
      <c r="F14" s="5" t="s">
        <v>68</v>
      </c>
      <c r="G14" s="17" t="s">
        <v>12</v>
      </c>
      <c r="H14" s="14">
        <v>9459.24</v>
      </c>
      <c r="I14" s="14">
        <v>9459.24</v>
      </c>
      <c r="J14" s="35">
        <f>1263.47+10+988.07+157.37</f>
        <v>2418.91</v>
      </c>
      <c r="K14" s="45">
        <f>Tabela4[[#This Row],[Rem. Bruta (2)]]-Tabela4[[#This Row],[Descontos]]</f>
        <v>7040.33</v>
      </c>
    </row>
    <row r="15" spans="2:11" ht="15" customHeight="1" x14ac:dyDescent="0.25">
      <c r="B15" s="29">
        <v>4</v>
      </c>
      <c r="C15" s="6" t="s">
        <v>16</v>
      </c>
      <c r="D15" s="6" t="s">
        <v>13</v>
      </c>
      <c r="E15" s="7" t="s">
        <v>17</v>
      </c>
      <c r="F15" s="5" t="s">
        <v>18</v>
      </c>
      <c r="G15" s="5" t="s">
        <v>12</v>
      </c>
      <c r="H15" s="20">
        <v>2898.01</v>
      </c>
      <c r="I15" s="20">
        <v>2898.01</v>
      </c>
      <c r="J15" s="35">
        <v>236.5</v>
      </c>
      <c r="K15" s="45">
        <f>Tabela4[[#This Row],[Rem. Bruta (2)]]-Tabela4[[#This Row],[Descontos]]</f>
        <v>2661.51</v>
      </c>
    </row>
    <row r="16" spans="2:11" ht="15" customHeight="1" x14ac:dyDescent="0.25">
      <c r="B16" s="29">
        <v>166</v>
      </c>
      <c r="C16" s="6" t="s">
        <v>89</v>
      </c>
      <c r="D16" s="6" t="s">
        <v>86</v>
      </c>
      <c r="E16" s="7" t="s">
        <v>10</v>
      </c>
      <c r="F16" s="5" t="s">
        <v>68</v>
      </c>
      <c r="G16" s="5" t="s">
        <v>12</v>
      </c>
      <c r="H16" s="20">
        <v>4842.21</v>
      </c>
      <c r="I16" s="20">
        <v>4842.21</v>
      </c>
      <c r="J16" s="35">
        <v>479.41</v>
      </c>
      <c r="K16" s="45">
        <f>Tabela4[[#This Row],[Rem. Bruta (2)]]-Tabela4[[#This Row],[Descontos]]</f>
        <v>4362.8</v>
      </c>
    </row>
    <row r="17" spans="2:11" ht="15" customHeight="1" x14ac:dyDescent="0.25">
      <c r="B17" s="29">
        <v>106</v>
      </c>
      <c r="C17" s="11" t="s">
        <v>64</v>
      </c>
      <c r="D17" s="11" t="s">
        <v>19</v>
      </c>
      <c r="E17" s="7" t="s">
        <v>10</v>
      </c>
      <c r="F17" s="5" t="s">
        <v>11</v>
      </c>
      <c r="G17" s="5" t="s">
        <v>12</v>
      </c>
      <c r="H17" s="14">
        <v>3891.07</v>
      </c>
      <c r="I17" s="20">
        <v>3891.07</v>
      </c>
      <c r="J17" s="35">
        <v>355.51</v>
      </c>
      <c r="K17" s="45">
        <f>Tabela4[[#This Row],[Rem. Bruta (2)]]-Tabela4[[#This Row],[Descontos]]</f>
        <v>3535.5600000000004</v>
      </c>
    </row>
    <row r="18" spans="2:11" ht="15" customHeight="1" x14ac:dyDescent="0.25">
      <c r="B18" s="29">
        <v>12</v>
      </c>
      <c r="C18" s="11" t="s">
        <v>22</v>
      </c>
      <c r="D18" s="11" t="s">
        <v>23</v>
      </c>
      <c r="E18" s="7" t="s">
        <v>24</v>
      </c>
      <c r="F18" s="5" t="s">
        <v>15</v>
      </c>
      <c r="G18" s="5" t="s">
        <v>12</v>
      </c>
      <c r="H18" s="20">
        <v>25778.27</v>
      </c>
      <c r="I18" s="20">
        <v>25778.27</v>
      </c>
      <c r="J18" s="35">
        <f>2835.62+988.07+3072.96</f>
        <v>6896.65</v>
      </c>
      <c r="K18" s="45">
        <f>Tabela4[[#This Row],[Rem. Bruta (2)]]-Tabela4[[#This Row],[Descontos]]</f>
        <v>18881.620000000003</v>
      </c>
    </row>
    <row r="19" spans="2:11" ht="15" customHeight="1" x14ac:dyDescent="0.25">
      <c r="B19" s="29">
        <v>215</v>
      </c>
      <c r="C19" s="6" t="s">
        <v>108</v>
      </c>
      <c r="D19" s="6" t="s">
        <v>107</v>
      </c>
      <c r="E19" s="7" t="s">
        <v>10</v>
      </c>
      <c r="F19" s="5" t="s">
        <v>18</v>
      </c>
      <c r="G19" s="5" t="s">
        <v>12</v>
      </c>
      <c r="H19" s="20">
        <v>4842.21</v>
      </c>
      <c r="I19" s="20">
        <v>4842.21</v>
      </c>
      <c r="J19" s="35">
        <v>479.41</v>
      </c>
      <c r="K19" s="45">
        <f>Tabela4[[#This Row],[Rem. Bruta (2)]]-Tabela4[[#This Row],[Descontos]]</f>
        <v>4362.8</v>
      </c>
    </row>
    <row r="20" spans="2:11" ht="15" customHeight="1" x14ac:dyDescent="0.25">
      <c r="B20" s="29">
        <v>626</v>
      </c>
      <c r="C20" s="6" t="s">
        <v>157</v>
      </c>
      <c r="D20" s="6" t="s">
        <v>19</v>
      </c>
      <c r="E20" s="22" t="s">
        <v>10</v>
      </c>
      <c r="F20" s="5" t="s">
        <v>21</v>
      </c>
      <c r="G20" s="5" t="s">
        <v>12</v>
      </c>
      <c r="H20" s="20">
        <v>3891.07</v>
      </c>
      <c r="I20" s="20">
        <v>3891.07</v>
      </c>
      <c r="J20" s="35">
        <f>355.51+123.47+284.19</f>
        <v>763.17000000000007</v>
      </c>
      <c r="K20" s="45">
        <f>Tabela4[[#This Row],[Rem. Bruta (2)]]-Tabela4[[#This Row],[Descontos]]</f>
        <v>3127.9</v>
      </c>
    </row>
    <row r="21" spans="2:11" ht="15" customHeight="1" x14ac:dyDescent="0.25">
      <c r="B21" s="29">
        <v>219</v>
      </c>
      <c r="C21" s="6" t="s">
        <v>109</v>
      </c>
      <c r="D21" s="10" t="s">
        <v>59</v>
      </c>
      <c r="E21" s="18" t="s">
        <v>14</v>
      </c>
      <c r="F21" s="5" t="s">
        <v>21</v>
      </c>
      <c r="G21" s="5" t="s">
        <v>12</v>
      </c>
      <c r="H21" s="20">
        <v>3891.07</v>
      </c>
      <c r="I21" s="20">
        <f>3891.07+64.85</f>
        <v>3955.92</v>
      </c>
      <c r="J21" s="35">
        <f>355.51</f>
        <v>355.51</v>
      </c>
      <c r="K21" s="45">
        <f>Tabela4[[#This Row],[Rem. Bruta (2)]]-Tabela4[[#This Row],[Descontos]]</f>
        <v>3600.41</v>
      </c>
    </row>
    <row r="22" spans="2:11" ht="15" customHeight="1" x14ac:dyDescent="0.25">
      <c r="B22" s="29">
        <v>354</v>
      </c>
      <c r="C22" s="6" t="s">
        <v>117</v>
      </c>
      <c r="D22" s="10" t="s">
        <v>118</v>
      </c>
      <c r="E22" s="18" t="s">
        <v>24</v>
      </c>
      <c r="F22" s="5" t="s">
        <v>68</v>
      </c>
      <c r="G22" s="5" t="s">
        <v>12</v>
      </c>
      <c r="H22" s="20">
        <v>9459.24</v>
      </c>
      <c r="I22" s="20">
        <v>9459.24</v>
      </c>
      <c r="J22" s="35">
        <f>1245.64+10+988.07+70.93</f>
        <v>2314.64</v>
      </c>
      <c r="K22" s="45">
        <f>Tabela4[[#This Row],[Rem. Bruta (2)]]-Tabela4[[#This Row],[Descontos]]</f>
        <v>7144.6</v>
      </c>
    </row>
    <row r="23" spans="2:11" ht="15" customHeight="1" x14ac:dyDescent="0.25">
      <c r="B23" s="29">
        <v>23</v>
      </c>
      <c r="C23" s="6" t="s">
        <v>25</v>
      </c>
      <c r="D23" s="6" t="s">
        <v>84</v>
      </c>
      <c r="E23" s="7" t="s">
        <v>10</v>
      </c>
      <c r="F23" s="5" t="s">
        <v>15</v>
      </c>
      <c r="G23" s="5" t="s">
        <v>12</v>
      </c>
      <c r="H23" s="20">
        <v>6952.55</v>
      </c>
      <c r="I23" s="20">
        <f>6952.55</f>
        <v>6952.55</v>
      </c>
      <c r="J23" s="35">
        <f>632.94+774.85+897.47</f>
        <v>2305.2600000000002</v>
      </c>
      <c r="K23" s="45">
        <f>Tabela4[[#This Row],[Rem. Bruta (2)]]-Tabela4[[#This Row],[Descontos]]</f>
        <v>4647.29</v>
      </c>
    </row>
    <row r="24" spans="2:11" ht="15" customHeight="1" x14ac:dyDescent="0.25">
      <c r="B24" s="29">
        <v>168</v>
      </c>
      <c r="C24" s="6" t="s">
        <v>91</v>
      </c>
      <c r="D24" s="6" t="s">
        <v>100</v>
      </c>
      <c r="E24" s="7" t="s">
        <v>10</v>
      </c>
      <c r="F24" s="5" t="s">
        <v>68</v>
      </c>
      <c r="G24" s="5" t="s">
        <v>12</v>
      </c>
      <c r="H24" s="20">
        <v>5188.09</v>
      </c>
      <c r="I24" s="20">
        <v>5188.09</v>
      </c>
      <c r="J24" s="35">
        <f>42.56+527.83</f>
        <v>570.3900000000001</v>
      </c>
      <c r="K24" s="45">
        <f>Tabela4[[#This Row],[Rem. Bruta (2)]]-Tabela4[[#This Row],[Descontos]]</f>
        <v>4617.7</v>
      </c>
    </row>
    <row r="25" spans="2:11" ht="15" customHeight="1" x14ac:dyDescent="0.25">
      <c r="B25" s="29">
        <v>170</v>
      </c>
      <c r="C25" s="6" t="s">
        <v>92</v>
      </c>
      <c r="D25" s="6" t="s">
        <v>95</v>
      </c>
      <c r="E25" s="22" t="s">
        <v>24</v>
      </c>
      <c r="F25" s="5" t="s">
        <v>68</v>
      </c>
      <c r="G25" s="5" t="s">
        <v>12</v>
      </c>
      <c r="H25" s="20">
        <v>9459.24</v>
      </c>
      <c r="I25" s="20">
        <f>9459.24+315.31</f>
        <v>9774.5499999999993</v>
      </c>
      <c r="J25" s="35">
        <f>1263.47+10+988.07+157.37+335.08+337.54+1375.29</f>
        <v>4466.82</v>
      </c>
      <c r="K25" s="45">
        <f>Tabela4[[#This Row],[Rem. Bruta (2)]]-Tabela4[[#This Row],[Descontos]]</f>
        <v>5307.73</v>
      </c>
    </row>
    <row r="26" spans="2:11" ht="15" customHeight="1" x14ac:dyDescent="0.25">
      <c r="B26" s="29">
        <v>13</v>
      </c>
      <c r="C26" s="10" t="s">
        <v>27</v>
      </c>
      <c r="D26" s="10" t="s">
        <v>100</v>
      </c>
      <c r="E26" s="18" t="s">
        <v>17</v>
      </c>
      <c r="F26" s="5" t="s">
        <v>20</v>
      </c>
      <c r="G26" s="5" t="s">
        <v>12</v>
      </c>
      <c r="H26" s="20">
        <v>2594.0500000000002</v>
      </c>
      <c r="I26" s="20">
        <v>2594.0500000000002</v>
      </c>
      <c r="J26" s="35">
        <v>209.14</v>
      </c>
      <c r="K26" s="45">
        <f>Tabela4[[#This Row],[Rem. Bruta (2)]]-Tabela4[[#This Row],[Descontos]]</f>
        <v>2384.9100000000003</v>
      </c>
    </row>
    <row r="27" spans="2:11" ht="15" customHeight="1" x14ac:dyDescent="0.25">
      <c r="B27" s="29">
        <v>427</v>
      </c>
      <c r="C27" s="10" t="s">
        <v>124</v>
      </c>
      <c r="D27" s="10" t="s">
        <v>19</v>
      </c>
      <c r="E27" s="18" t="s">
        <v>10</v>
      </c>
      <c r="F27" s="5" t="s">
        <v>11</v>
      </c>
      <c r="G27" s="5" t="s">
        <v>12</v>
      </c>
      <c r="H27" s="20">
        <v>3891.07</v>
      </c>
      <c r="I27" s="20">
        <f>3242.56+0.34+1.38+216.74+648.51</f>
        <v>4109.5300000000007</v>
      </c>
      <c r="J27" s="35">
        <f>65.02+39.02+277.69+194.55</f>
        <v>576.28</v>
      </c>
      <c r="K27" s="45">
        <f>Tabela4[[#This Row],[Rem. Bruta (2)]]-Tabela4[[#This Row],[Descontos]]</f>
        <v>3533.2500000000009</v>
      </c>
    </row>
    <row r="28" spans="2:11" ht="15" customHeight="1" x14ac:dyDescent="0.25">
      <c r="B28" s="29">
        <v>119</v>
      </c>
      <c r="C28" s="10" t="s">
        <v>67</v>
      </c>
      <c r="D28" s="10" t="s">
        <v>63</v>
      </c>
      <c r="E28" s="18" t="s">
        <v>24</v>
      </c>
      <c r="F28" s="5" t="s">
        <v>68</v>
      </c>
      <c r="G28" s="5" t="s">
        <v>12</v>
      </c>
      <c r="H28" s="20">
        <v>15252.97</v>
      </c>
      <c r="I28" s="20">
        <v>15252.97</v>
      </c>
      <c r="J28" s="35">
        <f>1677.83+27.5+988.07+1336.29</f>
        <v>4029.69</v>
      </c>
      <c r="K28" s="45">
        <f>Tabela4[[#This Row],[Rem. Bruta (2)]]-Tabela4[[#This Row],[Descontos]]</f>
        <v>11223.279999999999</v>
      </c>
    </row>
    <row r="29" spans="2:11" ht="15" customHeight="1" x14ac:dyDescent="0.25">
      <c r="B29" s="29">
        <v>24</v>
      </c>
      <c r="C29" s="9" t="s">
        <v>29</v>
      </c>
      <c r="D29" s="9" t="s">
        <v>122</v>
      </c>
      <c r="E29" s="7" t="s">
        <v>24</v>
      </c>
      <c r="F29" s="5" t="s">
        <v>15</v>
      </c>
      <c r="G29" s="5" t="s">
        <v>12</v>
      </c>
      <c r="H29" s="20">
        <v>10428.790000000001</v>
      </c>
      <c r="I29" s="20">
        <f>10428.79+1042.89</f>
        <v>11471.68</v>
      </c>
      <c r="J29" s="35">
        <f>1292.67+17.5+988.07+394.8</f>
        <v>2693.0400000000004</v>
      </c>
      <c r="K29" s="45">
        <f>Tabela4[[#This Row],[Rem. Bruta (2)]]-Tabela4[[#This Row],[Descontos]]</f>
        <v>8778.64</v>
      </c>
    </row>
    <row r="30" spans="2:11" ht="15" customHeight="1" x14ac:dyDescent="0.25">
      <c r="B30" s="29">
        <v>456</v>
      </c>
      <c r="C30" s="9" t="s">
        <v>125</v>
      </c>
      <c r="D30" s="9" t="s">
        <v>126</v>
      </c>
      <c r="E30" s="7" t="s">
        <v>14</v>
      </c>
      <c r="F30" s="5" t="s">
        <v>20</v>
      </c>
      <c r="G30" s="5" t="s">
        <v>12</v>
      </c>
      <c r="H30" s="20">
        <v>1997.4</v>
      </c>
      <c r="I30" s="20">
        <v>1997.4</v>
      </c>
      <c r="J30" s="35">
        <f>155.44+119.84+186.4+428.97</f>
        <v>890.65</v>
      </c>
      <c r="K30" s="45">
        <f>Tabela4[[#This Row],[Rem. Bruta (2)]]-Tabela4[[#This Row],[Descontos]]</f>
        <v>1106.75</v>
      </c>
    </row>
    <row r="31" spans="2:11" ht="15" customHeight="1" x14ac:dyDescent="0.25">
      <c r="B31" s="29">
        <v>150</v>
      </c>
      <c r="C31" s="9" t="s">
        <v>81</v>
      </c>
      <c r="D31" s="9" t="s">
        <v>9</v>
      </c>
      <c r="E31" s="7" t="s">
        <v>10</v>
      </c>
      <c r="F31" s="5" t="s">
        <v>68</v>
      </c>
      <c r="G31" s="5" t="s">
        <v>12</v>
      </c>
      <c r="H31" s="20">
        <v>3891.07</v>
      </c>
      <c r="I31" s="20">
        <v>3891.07</v>
      </c>
      <c r="J31" s="35">
        <f>355.51+233.46</f>
        <v>588.97</v>
      </c>
      <c r="K31" s="45">
        <f>Tabela4[[#This Row],[Rem. Bruta (2)]]-Tabela4[[#This Row],[Descontos]]</f>
        <v>3302.1000000000004</v>
      </c>
    </row>
    <row r="32" spans="2:11" ht="15" customHeight="1" x14ac:dyDescent="0.25">
      <c r="B32" s="29">
        <v>203</v>
      </c>
      <c r="C32" s="9" t="s">
        <v>102</v>
      </c>
      <c r="D32" s="9" t="s">
        <v>121</v>
      </c>
      <c r="E32" s="7" t="s">
        <v>10</v>
      </c>
      <c r="F32" s="5" t="s">
        <v>68</v>
      </c>
      <c r="G32" s="5" t="s">
        <v>12</v>
      </c>
      <c r="H32" s="20">
        <v>1997.4</v>
      </c>
      <c r="I32" s="20">
        <f>1997.4+599.22</f>
        <v>2596.62</v>
      </c>
      <c r="J32" s="35">
        <f>209.37+119.84</f>
        <v>329.21000000000004</v>
      </c>
      <c r="K32" s="45">
        <f>Tabela4[[#This Row],[Rem. Bruta (2)]]-Tabela4[[#This Row],[Descontos]]</f>
        <v>2267.41</v>
      </c>
    </row>
    <row r="33" spans="2:11" ht="15" customHeight="1" x14ac:dyDescent="0.25">
      <c r="B33" s="29">
        <v>625</v>
      </c>
      <c r="C33" s="9" t="s">
        <v>156</v>
      </c>
      <c r="D33" s="9" t="s">
        <v>147</v>
      </c>
      <c r="E33" s="7" t="s">
        <v>10</v>
      </c>
      <c r="F33" s="5" t="s">
        <v>15</v>
      </c>
      <c r="G33" s="5" t="s">
        <v>12</v>
      </c>
      <c r="H33" s="20">
        <v>4842.22</v>
      </c>
      <c r="I33" s="20">
        <v>4842.22</v>
      </c>
      <c r="J33" s="35">
        <v>479.41</v>
      </c>
      <c r="K33" s="45">
        <f>Tabela4[[#This Row],[Rem. Bruta (2)]]-Tabela4[[#This Row],[Descontos]]</f>
        <v>4362.8100000000004</v>
      </c>
    </row>
    <row r="34" spans="2:11" ht="15" customHeight="1" x14ac:dyDescent="0.25">
      <c r="B34" s="29">
        <v>599</v>
      </c>
      <c r="C34" s="9" t="s">
        <v>148</v>
      </c>
      <c r="D34" s="9" t="s">
        <v>150</v>
      </c>
      <c r="E34" s="7" t="s">
        <v>14</v>
      </c>
      <c r="F34" s="5" t="s">
        <v>68</v>
      </c>
      <c r="G34" s="5" t="s">
        <v>12</v>
      </c>
      <c r="H34" s="20">
        <v>3891.07</v>
      </c>
      <c r="I34" s="20">
        <v>3891.07</v>
      </c>
      <c r="J34" s="35">
        <v>355.51</v>
      </c>
      <c r="K34" s="45">
        <f>Tabela4[[#This Row],[Rem. Bruta (2)]]-Tabela4[[#This Row],[Descontos]]</f>
        <v>3535.5600000000004</v>
      </c>
    </row>
    <row r="35" spans="2:11" ht="15" customHeight="1" x14ac:dyDescent="0.25">
      <c r="B35" s="29">
        <v>45</v>
      </c>
      <c r="C35" s="10" t="s">
        <v>30</v>
      </c>
      <c r="D35" s="10" t="s">
        <v>59</v>
      </c>
      <c r="E35" s="7" t="s">
        <v>10</v>
      </c>
      <c r="F35" s="5" t="s">
        <v>20</v>
      </c>
      <c r="G35" s="5" t="s">
        <v>12</v>
      </c>
      <c r="H35" s="20">
        <v>3891.07</v>
      </c>
      <c r="I35" s="20">
        <v>3891.07</v>
      </c>
      <c r="J35" s="35">
        <v>355.51</v>
      </c>
      <c r="K35" s="45">
        <f>Tabela4[[#This Row],[Rem. Bruta (2)]]-Tabela4[[#This Row],[Descontos]]</f>
        <v>3535.5600000000004</v>
      </c>
    </row>
    <row r="36" spans="2:11" ht="15" customHeight="1" x14ac:dyDescent="0.25">
      <c r="B36" s="29">
        <v>676</v>
      </c>
      <c r="C36" s="6" t="s">
        <v>159</v>
      </c>
      <c r="D36" s="6" t="s">
        <v>150</v>
      </c>
      <c r="E36" s="7" t="s">
        <v>10</v>
      </c>
      <c r="F36" s="5" t="s">
        <v>68</v>
      </c>
      <c r="G36" s="5" t="s">
        <v>12</v>
      </c>
      <c r="H36" s="20">
        <v>3891.07</v>
      </c>
      <c r="I36" s="20">
        <f>3891.07+389.11</f>
        <v>4280.18</v>
      </c>
      <c r="J36" s="35">
        <f>355.51+233.46</f>
        <v>588.97</v>
      </c>
      <c r="K36" s="45">
        <f>Tabela4[[#This Row],[Rem. Bruta (2)]]-Tabela4[[#This Row],[Descontos]]</f>
        <v>3691.21</v>
      </c>
    </row>
    <row r="37" spans="2:11" ht="15" customHeight="1" x14ac:dyDescent="0.25">
      <c r="B37" s="29">
        <v>222</v>
      </c>
      <c r="C37" s="6" t="s">
        <v>113</v>
      </c>
      <c r="D37" s="6" t="s">
        <v>114</v>
      </c>
      <c r="E37" s="7" t="s">
        <v>10</v>
      </c>
      <c r="F37" s="5" t="s">
        <v>15</v>
      </c>
      <c r="G37" s="5" t="s">
        <v>12</v>
      </c>
      <c r="H37" s="20">
        <v>5188.09</v>
      </c>
      <c r="I37" s="20">
        <f>5188.09+345.87</f>
        <v>5533.96</v>
      </c>
      <c r="J37" s="35">
        <f>527.83</f>
        <v>527.83000000000004</v>
      </c>
      <c r="K37" s="45">
        <f>Tabela4[[#This Row],[Rem. Bruta (2)]]-Tabela4[[#This Row],[Descontos]]</f>
        <v>5006.13</v>
      </c>
    </row>
    <row r="38" spans="2:11" ht="15" customHeight="1" x14ac:dyDescent="0.25">
      <c r="B38" s="29">
        <v>77</v>
      </c>
      <c r="C38" s="6" t="s">
        <v>31</v>
      </c>
      <c r="D38" s="6" t="s">
        <v>85</v>
      </c>
      <c r="E38" s="7" t="s">
        <v>10</v>
      </c>
      <c r="F38" s="5" t="s">
        <v>11</v>
      </c>
      <c r="G38" s="5" t="s">
        <v>12</v>
      </c>
      <c r="H38" s="20">
        <v>2097.2800000000002</v>
      </c>
      <c r="I38" s="20">
        <f>2097.28+629.18</f>
        <v>2726.46</v>
      </c>
      <c r="J38" s="35">
        <v>221.06</v>
      </c>
      <c r="K38" s="45">
        <f>Tabela4[[#This Row],[Rem. Bruta (2)]]-Tabela4[[#This Row],[Descontos]]</f>
        <v>2505.4</v>
      </c>
    </row>
    <row r="39" spans="2:11" ht="15" customHeight="1" x14ac:dyDescent="0.25">
      <c r="B39" s="29">
        <v>180</v>
      </c>
      <c r="C39" s="6" t="s">
        <v>94</v>
      </c>
      <c r="D39" s="6" t="s">
        <v>65</v>
      </c>
      <c r="E39" s="7" t="s">
        <v>10</v>
      </c>
      <c r="F39" s="5" t="s">
        <v>15</v>
      </c>
      <c r="G39" s="5" t="s">
        <v>12</v>
      </c>
      <c r="H39" s="20">
        <v>3891.07</v>
      </c>
      <c r="I39" s="20">
        <v>3891.07</v>
      </c>
      <c r="J39" s="35">
        <f>355.51+233.46</f>
        <v>588.97</v>
      </c>
      <c r="K39" s="45">
        <f>Tabela4[[#This Row],[Rem. Bruta (2)]]-Tabela4[[#This Row],[Descontos]]</f>
        <v>3302.1000000000004</v>
      </c>
    </row>
    <row r="40" spans="2:11" ht="15" customHeight="1" x14ac:dyDescent="0.25">
      <c r="B40" s="29">
        <v>63</v>
      </c>
      <c r="C40" s="6" t="s">
        <v>32</v>
      </c>
      <c r="D40" s="11" t="s">
        <v>112</v>
      </c>
      <c r="E40" s="7" t="s">
        <v>10</v>
      </c>
      <c r="F40" s="5" t="s">
        <v>15</v>
      </c>
      <c r="G40" s="5" t="s">
        <v>12</v>
      </c>
      <c r="H40" s="20">
        <v>4842.21</v>
      </c>
      <c r="I40" s="20">
        <v>4842.21</v>
      </c>
      <c r="J40" s="35">
        <v>479.41</v>
      </c>
      <c r="K40" s="45">
        <f>Tabela4[[#This Row],[Rem. Bruta (2)]]-Tabela4[[#This Row],[Descontos]]</f>
        <v>4362.8</v>
      </c>
    </row>
    <row r="41" spans="2:11" ht="15" customHeight="1" x14ac:dyDescent="0.25">
      <c r="B41" s="29">
        <v>33</v>
      </c>
      <c r="C41" s="6" t="s">
        <v>33</v>
      </c>
      <c r="D41" s="6" t="s">
        <v>9</v>
      </c>
      <c r="E41" s="7" t="s">
        <v>10</v>
      </c>
      <c r="F41" s="5" t="s">
        <v>20</v>
      </c>
      <c r="G41" s="5" t="s">
        <v>12</v>
      </c>
      <c r="H41" s="20">
        <v>4085.62</v>
      </c>
      <c r="I41" s="20">
        <v>4085.62</v>
      </c>
      <c r="J41" s="35">
        <v>378.86</v>
      </c>
      <c r="K41" s="45">
        <f>Tabela4[[#This Row],[Rem. Bruta (2)]]-Tabela4[[#This Row],[Descontos]]</f>
        <v>3706.7599999999998</v>
      </c>
    </row>
    <row r="42" spans="2:11" ht="15" customHeight="1" x14ac:dyDescent="0.25">
      <c r="B42" s="29">
        <v>28</v>
      </c>
      <c r="C42" s="11" t="s">
        <v>34</v>
      </c>
      <c r="D42" s="10" t="s">
        <v>63</v>
      </c>
      <c r="E42" s="18" t="s">
        <v>24</v>
      </c>
      <c r="F42" s="8" t="s">
        <v>11</v>
      </c>
      <c r="G42" s="5" t="s">
        <v>12</v>
      </c>
      <c r="H42" s="20">
        <v>15252.97</v>
      </c>
      <c r="I42" s="20">
        <f>15252.97+762.95</f>
        <v>16015.92</v>
      </c>
      <c r="J42" s="35">
        <f>1677.83+27.5+988.07+1284.15+2165.38</f>
        <v>6142.93</v>
      </c>
      <c r="K42" s="45">
        <f>Tabela4[[#This Row],[Rem. Bruta (2)]]-Tabela4[[#This Row],[Descontos]]</f>
        <v>9872.99</v>
      </c>
    </row>
    <row r="43" spans="2:11" ht="15" customHeight="1" x14ac:dyDescent="0.25">
      <c r="B43" s="29">
        <v>38</v>
      </c>
      <c r="C43" s="11" t="s">
        <v>35</v>
      </c>
      <c r="D43" s="11" t="s">
        <v>123</v>
      </c>
      <c r="E43" s="7" t="s">
        <v>10</v>
      </c>
      <c r="F43" s="5" t="s">
        <v>21</v>
      </c>
      <c r="G43" s="5" t="s">
        <v>12</v>
      </c>
      <c r="H43" s="20">
        <v>4085.59</v>
      </c>
      <c r="I43" s="20">
        <f>4085.59+288.75</f>
        <v>4374.34</v>
      </c>
      <c r="J43" s="35">
        <v>378.86</v>
      </c>
      <c r="K43" s="45">
        <f>Tabela4[[#This Row],[Rem. Bruta (2)]]-Tabela4[[#This Row],[Descontos]]</f>
        <v>3995.48</v>
      </c>
    </row>
    <row r="44" spans="2:11" ht="15" customHeight="1" x14ac:dyDescent="0.25">
      <c r="B44" s="29">
        <v>134</v>
      </c>
      <c r="C44" s="11" t="s">
        <v>75</v>
      </c>
      <c r="D44" s="11" t="s">
        <v>19</v>
      </c>
      <c r="E44" s="7" t="s">
        <v>10</v>
      </c>
      <c r="F44" s="5" t="s">
        <v>11</v>
      </c>
      <c r="G44" s="5" t="s">
        <v>12</v>
      </c>
      <c r="H44" s="20">
        <v>3891.07</v>
      </c>
      <c r="I44" s="20">
        <f>3242.56+648.51+3.44</f>
        <v>3894.5099999999998</v>
      </c>
      <c r="J44" s="35">
        <f>355.93</f>
        <v>355.93</v>
      </c>
      <c r="K44" s="45">
        <f>Tabela4[[#This Row],[Rem. Bruta (2)]]-Tabela4[[#This Row],[Descontos]]</f>
        <v>3538.58</v>
      </c>
    </row>
    <row r="45" spans="2:11" ht="15" customHeight="1" x14ac:dyDescent="0.25">
      <c r="B45" s="29">
        <v>97</v>
      </c>
      <c r="C45" s="11" t="s">
        <v>61</v>
      </c>
      <c r="D45" s="11" t="s">
        <v>106</v>
      </c>
      <c r="E45" s="7" t="s">
        <v>10</v>
      </c>
      <c r="F45" s="5" t="s">
        <v>15</v>
      </c>
      <c r="G45" s="5" t="s">
        <v>12</v>
      </c>
      <c r="H45" s="20">
        <v>3891.07</v>
      </c>
      <c r="I45" s="20">
        <f>3891.07+129.7</f>
        <v>4020.77</v>
      </c>
      <c r="J45" s="35">
        <v>355.51</v>
      </c>
      <c r="K45" s="45">
        <f>Tabela4[[#This Row],[Rem. Bruta (2)]]-Tabela4[[#This Row],[Descontos]]</f>
        <v>3665.26</v>
      </c>
    </row>
    <row r="46" spans="2:11" ht="15" customHeight="1" x14ac:dyDescent="0.25">
      <c r="B46" s="29">
        <v>459</v>
      </c>
      <c r="C46" s="11" t="s">
        <v>127</v>
      </c>
      <c r="D46" s="11" t="s">
        <v>128</v>
      </c>
      <c r="E46" s="7" t="s">
        <v>10</v>
      </c>
      <c r="F46" s="5" t="s">
        <v>68</v>
      </c>
      <c r="G46" s="5" t="s">
        <v>12</v>
      </c>
      <c r="H46" s="20">
        <v>3891.07</v>
      </c>
      <c r="I46" s="20">
        <f>2594.05+1297.02+3.57</f>
        <v>3894.6400000000003</v>
      </c>
      <c r="J46" s="35">
        <f>355.94+233.46</f>
        <v>589.4</v>
      </c>
      <c r="K46" s="45">
        <f>Tabela4[[#This Row],[Rem. Bruta (2)]]-Tabela4[[#This Row],[Descontos]]</f>
        <v>3305.2400000000002</v>
      </c>
    </row>
    <row r="47" spans="2:11" ht="15" customHeight="1" x14ac:dyDescent="0.25">
      <c r="B47" s="29">
        <v>19</v>
      </c>
      <c r="C47" s="9" t="s">
        <v>36</v>
      </c>
      <c r="D47" s="9" t="s">
        <v>37</v>
      </c>
      <c r="E47" s="7" t="s">
        <v>10</v>
      </c>
      <c r="F47" s="5" t="s">
        <v>21</v>
      </c>
      <c r="G47" s="5" t="s">
        <v>12</v>
      </c>
      <c r="H47" s="20">
        <v>5214.3999999999996</v>
      </c>
      <c r="I47" s="20">
        <f>5214.4+173.81</f>
        <v>5388.21</v>
      </c>
      <c r="J47" s="35">
        <f>76.78+531.51+169.94+284.29+586.36</f>
        <v>1648.88</v>
      </c>
      <c r="K47" s="45">
        <f>Tabela4[[#This Row],[Rem. Bruta (2)]]-Tabela4[[#This Row],[Descontos]]</f>
        <v>3739.33</v>
      </c>
    </row>
    <row r="48" spans="2:11" ht="15" customHeight="1" x14ac:dyDescent="0.25">
      <c r="B48" s="29">
        <v>129</v>
      </c>
      <c r="C48" s="9" t="s">
        <v>73</v>
      </c>
      <c r="D48" s="9" t="s">
        <v>19</v>
      </c>
      <c r="E48" s="7" t="s">
        <v>10</v>
      </c>
      <c r="F48" s="5" t="s">
        <v>18</v>
      </c>
      <c r="G48" s="5" t="s">
        <v>12</v>
      </c>
      <c r="H48" s="20">
        <v>3891.07</v>
      </c>
      <c r="I48" s="20">
        <v>3891.07</v>
      </c>
      <c r="J48" s="35">
        <v>355.51</v>
      </c>
      <c r="K48" s="45">
        <f>Tabela4[[#This Row],[Rem. Bruta (2)]]-Tabela4[[#This Row],[Descontos]]</f>
        <v>3535.5600000000004</v>
      </c>
    </row>
    <row r="49" spans="2:11" ht="15" customHeight="1" x14ac:dyDescent="0.25">
      <c r="B49" s="29">
        <v>126</v>
      </c>
      <c r="C49" s="9" t="s">
        <v>71</v>
      </c>
      <c r="D49" s="9" t="s">
        <v>82</v>
      </c>
      <c r="E49" s="7" t="s">
        <v>24</v>
      </c>
      <c r="F49" s="5" t="s">
        <v>68</v>
      </c>
      <c r="G49" s="5" t="s">
        <v>12</v>
      </c>
      <c r="H49" s="20">
        <v>9459.24</v>
      </c>
      <c r="I49" s="20">
        <f>9459.24+288.75</f>
        <v>9747.99</v>
      </c>
      <c r="J49" s="35">
        <f>1255.12+10+988.07+113.58+390.52+246.63+770.29+461.13</f>
        <v>4235.34</v>
      </c>
      <c r="K49" s="45">
        <f>Tabela4[[#This Row],[Rem. Bruta (2)]]-Tabela4[[#This Row],[Descontos]]</f>
        <v>5512.65</v>
      </c>
    </row>
    <row r="50" spans="2:11" ht="15" customHeight="1" x14ac:dyDescent="0.25">
      <c r="B50" s="29">
        <v>205</v>
      </c>
      <c r="C50" s="9" t="s">
        <v>103</v>
      </c>
      <c r="D50" s="9" t="s">
        <v>90</v>
      </c>
      <c r="E50" s="7" t="s">
        <v>10</v>
      </c>
      <c r="F50" s="5" t="s">
        <v>15</v>
      </c>
      <c r="G50" s="5" t="s">
        <v>12</v>
      </c>
      <c r="H50" s="20">
        <v>3891.07</v>
      </c>
      <c r="I50" s="20">
        <f>3891.07</f>
        <v>3891.07</v>
      </c>
      <c r="J50" s="35">
        <f>355.51+632.91</f>
        <v>988.42</v>
      </c>
      <c r="K50" s="45">
        <f>Tabela4[[#This Row],[Rem. Bruta (2)]]-Tabela4[[#This Row],[Descontos]]</f>
        <v>2902.65</v>
      </c>
    </row>
    <row r="51" spans="2:11" ht="15" customHeight="1" x14ac:dyDescent="0.25">
      <c r="B51" s="29">
        <v>740</v>
      </c>
      <c r="C51" s="9" t="s">
        <v>166</v>
      </c>
      <c r="D51" s="9" t="s">
        <v>150</v>
      </c>
      <c r="E51" s="7" t="s">
        <v>10</v>
      </c>
      <c r="F51" s="5" t="s">
        <v>68</v>
      </c>
      <c r="G51" s="5" t="s">
        <v>12</v>
      </c>
      <c r="H51" s="20">
        <v>3891.07</v>
      </c>
      <c r="I51" s="20">
        <v>2464.34</v>
      </c>
      <c r="J51" s="35">
        <v>197.47</v>
      </c>
      <c r="K51" s="45">
        <f>Tabela4[[#This Row],[Rem. Bruta (2)]]-Tabela4[[#This Row],[Descontos]]</f>
        <v>2266.8700000000003</v>
      </c>
    </row>
    <row r="52" spans="2:11" ht="15" customHeight="1" x14ac:dyDescent="0.25">
      <c r="B52" s="29">
        <v>27</v>
      </c>
      <c r="C52" s="11" t="s">
        <v>38</v>
      </c>
      <c r="D52" s="11" t="s">
        <v>100</v>
      </c>
      <c r="E52" s="7" t="s">
        <v>10</v>
      </c>
      <c r="F52" s="5" t="s">
        <v>21</v>
      </c>
      <c r="G52" s="5" t="s">
        <v>12</v>
      </c>
      <c r="H52" s="20">
        <v>5188.09</v>
      </c>
      <c r="I52" s="20">
        <f>5188.09+172.94</f>
        <v>5361.03</v>
      </c>
      <c r="J52" s="35">
        <f>42.56+527.83+884.32</f>
        <v>1454.71</v>
      </c>
      <c r="K52" s="45">
        <f>Tabela4[[#This Row],[Rem. Bruta (2)]]-Tabela4[[#This Row],[Descontos]]</f>
        <v>3906.3199999999997</v>
      </c>
    </row>
    <row r="53" spans="2:11" ht="15" customHeight="1" x14ac:dyDescent="0.25">
      <c r="B53" s="29">
        <v>56</v>
      </c>
      <c r="C53" s="10" t="s">
        <v>62</v>
      </c>
      <c r="D53" s="10" t="s">
        <v>40</v>
      </c>
      <c r="E53" s="7" t="s">
        <v>10</v>
      </c>
      <c r="F53" s="5" t="s">
        <v>20</v>
      </c>
      <c r="G53" s="5" t="s">
        <v>12</v>
      </c>
      <c r="H53" s="20">
        <v>3891.07</v>
      </c>
      <c r="I53" s="20">
        <f>2983.15+0.89+3.43+304.08+907.92</f>
        <v>4199.4699999999993</v>
      </c>
      <c r="J53" s="35">
        <f>92.44+53.52+246.56</f>
        <v>392.52</v>
      </c>
      <c r="K53" s="45">
        <f>Tabela4[[#This Row],[Rem. Bruta (2)]]-Tabela4[[#This Row],[Descontos]]</f>
        <v>3806.9499999999994</v>
      </c>
    </row>
    <row r="54" spans="2:11" ht="15" customHeight="1" x14ac:dyDescent="0.25">
      <c r="B54" s="29">
        <v>573</v>
      </c>
      <c r="C54" s="6" t="s">
        <v>145</v>
      </c>
      <c r="D54" s="6" t="s">
        <v>146</v>
      </c>
      <c r="E54" s="7" t="s">
        <v>24</v>
      </c>
      <c r="F54" s="8" t="s">
        <v>68</v>
      </c>
      <c r="G54" s="5" t="s">
        <v>12</v>
      </c>
      <c r="H54" s="20">
        <v>9459.24</v>
      </c>
      <c r="I54" s="20">
        <v>9459.24</v>
      </c>
      <c r="J54" s="35">
        <f>1263.47+10+988.07+157.37</f>
        <v>2418.91</v>
      </c>
      <c r="K54" s="45">
        <f>Tabela4[[#This Row],[Rem. Bruta (2)]]-Tabela4[[#This Row],[Descontos]]</f>
        <v>7040.33</v>
      </c>
    </row>
    <row r="55" spans="2:11" ht="15" customHeight="1" x14ac:dyDescent="0.25">
      <c r="B55" s="29">
        <v>210</v>
      </c>
      <c r="C55" s="6" t="s">
        <v>105</v>
      </c>
      <c r="D55" s="9" t="s">
        <v>150</v>
      </c>
      <c r="E55" s="7" t="s">
        <v>10</v>
      </c>
      <c r="F55" s="8" t="s">
        <v>68</v>
      </c>
      <c r="G55" s="5" t="s">
        <v>12</v>
      </c>
      <c r="H55" s="20">
        <v>3891.07</v>
      </c>
      <c r="I55" s="20">
        <v>3891.07</v>
      </c>
      <c r="J55" s="35">
        <f>355.51+233.46</f>
        <v>588.97</v>
      </c>
      <c r="K55" s="45">
        <f>Tabela4[[#This Row],[Rem. Bruta (2)]]-Tabela4[[#This Row],[Descontos]]</f>
        <v>3302.1000000000004</v>
      </c>
    </row>
    <row r="56" spans="2:11" ht="15" customHeight="1" x14ac:dyDescent="0.25">
      <c r="B56" s="29">
        <v>139</v>
      </c>
      <c r="C56" s="6" t="s">
        <v>79</v>
      </c>
      <c r="D56" s="6" t="s">
        <v>19</v>
      </c>
      <c r="E56" s="7" t="s">
        <v>10</v>
      </c>
      <c r="F56" s="5" t="s">
        <v>11</v>
      </c>
      <c r="G56" s="5" t="s">
        <v>12</v>
      </c>
      <c r="H56" s="20">
        <v>3891.07</v>
      </c>
      <c r="I56" s="20">
        <v>3891.07</v>
      </c>
      <c r="J56" s="35">
        <v>355.51</v>
      </c>
      <c r="K56" s="45">
        <f>Tabela4[[#This Row],[Rem. Bruta (2)]]-Tabela4[[#This Row],[Descontos]]</f>
        <v>3535.5600000000004</v>
      </c>
    </row>
    <row r="57" spans="2:11" ht="15" customHeight="1" x14ac:dyDescent="0.25">
      <c r="B57" s="29">
        <v>128</v>
      </c>
      <c r="C57" s="6" t="s">
        <v>72</v>
      </c>
      <c r="D57" s="10" t="s">
        <v>19</v>
      </c>
      <c r="E57" s="7" t="s">
        <v>10</v>
      </c>
      <c r="F57" s="5" t="s">
        <v>11</v>
      </c>
      <c r="G57" s="46">
        <v>46171</v>
      </c>
      <c r="H57" s="20">
        <v>3891.07</v>
      </c>
      <c r="I57" s="20">
        <f>3761.37+53.18+255.25+1621.28+3891.07+648.51+1318.19+8.18+2.41+49.06+14.44+219.7</f>
        <v>11842.640000000001</v>
      </c>
      <c r="J57" s="35">
        <f>376.96+121.59</f>
        <v>498.54999999999995</v>
      </c>
      <c r="K57" s="45">
        <f>Tabela4[[#This Row],[Rem. Bruta (2)]]-Tabela4[[#This Row],[Descontos]]</f>
        <v>11344.090000000002</v>
      </c>
    </row>
    <row r="58" spans="2:11" ht="15" customHeight="1" x14ac:dyDescent="0.25">
      <c r="B58" s="29">
        <v>343</v>
      </c>
      <c r="C58" s="6" t="s">
        <v>116</v>
      </c>
      <c r="D58" s="10" t="s">
        <v>115</v>
      </c>
      <c r="E58" s="7" t="s">
        <v>24</v>
      </c>
      <c r="F58" s="5" t="s">
        <v>68</v>
      </c>
      <c r="G58" s="5" t="s">
        <v>12</v>
      </c>
      <c r="H58" s="20">
        <v>9459.24</v>
      </c>
      <c r="I58" s="20">
        <v>9459.24</v>
      </c>
      <c r="J58" s="35">
        <f>1263.47+10+988.07+157.37</f>
        <v>2418.91</v>
      </c>
      <c r="K58" s="45">
        <f>Tabela4[[#This Row],[Rem. Bruta (2)]]-Tabela4[[#This Row],[Descontos]]</f>
        <v>7040.33</v>
      </c>
    </row>
    <row r="59" spans="2:11" ht="15" customHeight="1" x14ac:dyDescent="0.25">
      <c r="B59" s="29">
        <v>715</v>
      </c>
      <c r="C59" s="6" t="s">
        <v>164</v>
      </c>
      <c r="D59" s="10" t="s">
        <v>126</v>
      </c>
      <c r="E59" s="7" t="s">
        <v>10</v>
      </c>
      <c r="F59" s="5" t="s">
        <v>21</v>
      </c>
      <c r="G59" s="5" t="s">
        <v>12</v>
      </c>
      <c r="H59" s="20">
        <v>1920.58</v>
      </c>
      <c r="I59" s="20">
        <v>1920.58</v>
      </c>
      <c r="J59" s="35">
        <v>148.53</v>
      </c>
      <c r="K59" s="45">
        <f>Tabela4[[#This Row],[Rem. Bruta (2)]]-Tabela4[[#This Row],[Descontos]]</f>
        <v>1772.05</v>
      </c>
    </row>
    <row r="60" spans="2:11" ht="15" customHeight="1" x14ac:dyDescent="0.25">
      <c r="B60" s="29">
        <v>47</v>
      </c>
      <c r="C60" s="9" t="s">
        <v>41</v>
      </c>
      <c r="D60" s="9" t="s">
        <v>78</v>
      </c>
      <c r="E60" s="7" t="s">
        <v>10</v>
      </c>
      <c r="F60" s="5" t="s">
        <v>15</v>
      </c>
      <c r="G60" s="5" t="s">
        <v>12</v>
      </c>
      <c r="H60" s="20">
        <v>3891.07</v>
      </c>
      <c r="I60" s="20">
        <f>3891.07+129.7</f>
        <v>4020.77</v>
      </c>
      <c r="J60" s="35">
        <v>355.51</v>
      </c>
      <c r="K60" s="45">
        <f>Tabela4[[#This Row],[Rem. Bruta (2)]]-Tabela4[[#This Row],[Descontos]]</f>
        <v>3665.26</v>
      </c>
    </row>
    <row r="61" spans="2:11" ht="15" customHeight="1" x14ac:dyDescent="0.25">
      <c r="B61" s="29">
        <v>132</v>
      </c>
      <c r="C61" s="9" t="s">
        <v>76</v>
      </c>
      <c r="D61" s="10" t="s">
        <v>77</v>
      </c>
      <c r="E61" s="7" t="s">
        <v>10</v>
      </c>
      <c r="F61" s="21" t="s">
        <v>11</v>
      </c>
      <c r="G61" s="5" t="s">
        <v>12</v>
      </c>
      <c r="H61" s="20">
        <v>4842.21</v>
      </c>
      <c r="I61" s="20">
        <v>4842.21</v>
      </c>
      <c r="J61" s="35">
        <v>479.41</v>
      </c>
      <c r="K61" s="45">
        <f>Tabela4[[#This Row],[Rem. Bruta (2)]]-Tabela4[[#This Row],[Descontos]]</f>
        <v>4362.8</v>
      </c>
    </row>
    <row r="62" spans="2:11" ht="15" customHeight="1" x14ac:dyDescent="0.25">
      <c r="B62" s="29">
        <v>165</v>
      </c>
      <c r="C62" s="9" t="s">
        <v>87</v>
      </c>
      <c r="D62" s="10" t="s">
        <v>86</v>
      </c>
      <c r="E62" s="7" t="s">
        <v>10</v>
      </c>
      <c r="F62" s="21" t="s">
        <v>68</v>
      </c>
      <c r="G62" s="5" t="s">
        <v>12</v>
      </c>
      <c r="H62" s="20">
        <v>4842.21</v>
      </c>
      <c r="I62" s="20">
        <f>2905.33+0.07+0.29+645.75+1936.88</f>
        <v>5488.32</v>
      </c>
      <c r="J62" s="35">
        <f>220.84+111.8+237.22</f>
        <v>569.86</v>
      </c>
      <c r="K62" s="45">
        <f>Tabela4[[#This Row],[Rem. Bruta (2)]]-Tabela4[[#This Row],[Descontos]]</f>
        <v>4918.46</v>
      </c>
    </row>
    <row r="63" spans="2:11" ht="15" customHeight="1" x14ac:dyDescent="0.25">
      <c r="B63" s="29">
        <v>25</v>
      </c>
      <c r="C63" s="10" t="s">
        <v>42</v>
      </c>
      <c r="D63" s="10" t="s">
        <v>39</v>
      </c>
      <c r="E63" s="7" t="s">
        <v>10</v>
      </c>
      <c r="F63" s="19" t="s">
        <v>21</v>
      </c>
      <c r="G63" s="5" t="s">
        <v>12</v>
      </c>
      <c r="H63" s="20">
        <v>4729.6099999999997</v>
      </c>
      <c r="I63" s="20">
        <v>4729.6099999999997</v>
      </c>
      <c r="J63" s="35">
        <v>463.64</v>
      </c>
      <c r="K63" s="45">
        <f>Tabela4[[#This Row],[Rem. Bruta (2)]]-Tabela4[[#This Row],[Descontos]]</f>
        <v>4265.9699999999993</v>
      </c>
    </row>
    <row r="64" spans="2:11" ht="15" customHeight="1" x14ac:dyDescent="0.25">
      <c r="B64" s="29">
        <v>39</v>
      </c>
      <c r="C64" s="11" t="s">
        <v>43</v>
      </c>
      <c r="D64" s="11" t="s">
        <v>26</v>
      </c>
      <c r="E64" s="7" t="s">
        <v>10</v>
      </c>
      <c r="F64" s="19" t="s">
        <v>21</v>
      </c>
      <c r="G64" s="5" t="s">
        <v>12</v>
      </c>
      <c r="H64" s="20">
        <v>4085.62</v>
      </c>
      <c r="I64" s="20">
        <v>4085.62</v>
      </c>
      <c r="J64" s="35">
        <v>378.86</v>
      </c>
      <c r="K64" s="45">
        <f>Tabela4[[#This Row],[Rem. Bruta (2)]]-Tabela4[[#This Row],[Descontos]]</f>
        <v>3706.7599999999998</v>
      </c>
    </row>
    <row r="65" spans="2:11" ht="15" customHeight="1" x14ac:dyDescent="0.25">
      <c r="B65" s="29">
        <v>190</v>
      </c>
      <c r="C65" s="11" t="s">
        <v>97</v>
      </c>
      <c r="D65" s="11" t="s">
        <v>98</v>
      </c>
      <c r="E65" s="7" t="s">
        <v>10</v>
      </c>
      <c r="F65" s="19" t="s">
        <v>68</v>
      </c>
      <c r="G65" s="5" t="s">
        <v>12</v>
      </c>
      <c r="H65" s="20">
        <v>3891.07</v>
      </c>
      <c r="I65" s="20">
        <f>2853.45+389.11+0.04+0.06+0.24+216.27+648.51</f>
        <v>4107.6799999999994</v>
      </c>
      <c r="J65" s="35">
        <f>64.88+38.93+277.7+194.55</f>
        <v>576.05999999999995</v>
      </c>
      <c r="K65" s="45">
        <f>Tabela4[[#This Row],[Rem. Bruta (2)]]-Tabela4[[#This Row],[Descontos]]</f>
        <v>3531.6199999999994</v>
      </c>
    </row>
    <row r="66" spans="2:11" ht="15" customHeight="1" x14ac:dyDescent="0.25">
      <c r="B66" s="29">
        <v>1</v>
      </c>
      <c r="C66" s="11" t="s">
        <v>44</v>
      </c>
      <c r="D66" s="11" t="s">
        <v>45</v>
      </c>
      <c r="E66" s="7" t="s">
        <v>24</v>
      </c>
      <c r="F66" s="5" t="s">
        <v>15</v>
      </c>
      <c r="G66" s="5" t="s">
        <v>12</v>
      </c>
      <c r="H66" s="20">
        <v>25778.27</v>
      </c>
      <c r="I66" s="20">
        <v>25778.27</v>
      </c>
      <c r="J66" s="35">
        <f>2835.62+988.07+3072.96+1642.48</f>
        <v>8539.1299999999992</v>
      </c>
      <c r="K66" s="45">
        <f>Tabela4[[#This Row],[Rem. Bruta (2)]]-Tabela4[[#This Row],[Descontos]]</f>
        <v>17239.14</v>
      </c>
    </row>
    <row r="67" spans="2:11" ht="15" customHeight="1" x14ac:dyDescent="0.25">
      <c r="B67" s="29">
        <v>211</v>
      </c>
      <c r="C67" s="11" t="s">
        <v>104</v>
      </c>
      <c r="D67" s="11" t="s">
        <v>19</v>
      </c>
      <c r="E67" s="7" t="s">
        <v>10</v>
      </c>
      <c r="F67" s="5" t="s">
        <v>18</v>
      </c>
      <c r="G67" s="5" t="s">
        <v>12</v>
      </c>
      <c r="H67" s="20">
        <v>3891.07</v>
      </c>
      <c r="I67" s="20">
        <v>3891.07</v>
      </c>
      <c r="J67" s="35">
        <v>355.51</v>
      </c>
      <c r="K67" s="45">
        <f>Tabela4[[#This Row],[Rem. Bruta (2)]]-Tabela4[[#This Row],[Descontos]]</f>
        <v>3535.5600000000004</v>
      </c>
    </row>
    <row r="68" spans="2:11" ht="15" customHeight="1" x14ac:dyDescent="0.25">
      <c r="B68" s="29">
        <v>5</v>
      </c>
      <c r="C68" s="6" t="s">
        <v>46</v>
      </c>
      <c r="D68" s="6" t="s">
        <v>47</v>
      </c>
      <c r="E68" s="7" t="s">
        <v>10</v>
      </c>
      <c r="F68" s="5" t="s">
        <v>15</v>
      </c>
      <c r="G68" s="5" t="s">
        <v>12</v>
      </c>
      <c r="H68" s="20">
        <v>7665.16</v>
      </c>
      <c r="I68" s="20">
        <v>7665.16</v>
      </c>
      <c r="J68" s="35">
        <f>854.39+874.62</f>
        <v>1729.01</v>
      </c>
      <c r="K68" s="45">
        <f>Tabela4[[#This Row],[Rem. Bruta (2)]]-Tabela4[[#This Row],[Descontos]]</f>
        <v>5936.15</v>
      </c>
    </row>
    <row r="69" spans="2:11" ht="15" customHeight="1" x14ac:dyDescent="0.25">
      <c r="B69" s="29">
        <v>641</v>
      </c>
      <c r="C69" s="6" t="s">
        <v>158</v>
      </c>
      <c r="D69" s="6" t="s">
        <v>106</v>
      </c>
      <c r="E69" s="7" t="s">
        <v>10</v>
      </c>
      <c r="F69" s="5" t="s">
        <v>68</v>
      </c>
      <c r="G69" s="5" t="s">
        <v>12</v>
      </c>
      <c r="H69" s="20">
        <v>3891.07</v>
      </c>
      <c r="I69" s="20">
        <f>3891.07</f>
        <v>3891.07</v>
      </c>
      <c r="J69" s="35">
        <f>355.51+233.46+205.49</f>
        <v>794.46</v>
      </c>
      <c r="K69" s="45">
        <f>Tabela4[[#This Row],[Rem. Bruta (2)]]-Tabela4[[#This Row],[Descontos]]</f>
        <v>3096.61</v>
      </c>
    </row>
    <row r="70" spans="2:11" ht="15" customHeight="1" x14ac:dyDescent="0.25">
      <c r="B70" s="29">
        <v>202</v>
      </c>
      <c r="C70" s="6" t="s">
        <v>101</v>
      </c>
      <c r="D70" s="6" t="s">
        <v>98</v>
      </c>
      <c r="E70" s="7" t="s">
        <v>10</v>
      </c>
      <c r="F70" s="5" t="s">
        <v>68</v>
      </c>
      <c r="G70" s="5" t="s">
        <v>12</v>
      </c>
      <c r="H70" s="20">
        <v>3891.07</v>
      </c>
      <c r="I70" s="20">
        <f>3242.56+5.41+20.56+224.83+648.51+2.17+8.22+89.93+259.4</f>
        <v>4501.59</v>
      </c>
      <c r="J70" s="35">
        <f>67.44+40.48+277.69+194.55</f>
        <v>580.16000000000008</v>
      </c>
      <c r="K70" s="45">
        <f>Tabela4[[#This Row],[Rem. Bruta (2)]]-Tabela4[[#This Row],[Descontos]]</f>
        <v>3921.4300000000003</v>
      </c>
    </row>
    <row r="71" spans="2:11" ht="15" customHeight="1" x14ac:dyDescent="0.25">
      <c r="B71" s="29">
        <v>10</v>
      </c>
      <c r="C71" s="6" t="s">
        <v>48</v>
      </c>
      <c r="D71" s="6" t="s">
        <v>63</v>
      </c>
      <c r="E71" s="7" t="s">
        <v>24</v>
      </c>
      <c r="F71" s="5" t="s">
        <v>20</v>
      </c>
      <c r="G71" s="5" t="s">
        <v>12</v>
      </c>
      <c r="H71" s="20">
        <v>15252.97</v>
      </c>
      <c r="I71" s="20">
        <f>12710.81+847.39+2542.16+1694.77+5084.32+295.33</f>
        <v>23174.78</v>
      </c>
      <c r="J71" s="35">
        <f>1398.18+27.5+295.33+988.07+15.05+893.78</f>
        <v>3617.91</v>
      </c>
      <c r="K71" s="45">
        <f>Tabela4[[#This Row],[Rem. Bruta (2)]]-Tabela4[[#This Row],[Descontos]]</f>
        <v>19556.87</v>
      </c>
    </row>
    <row r="72" spans="2:11" ht="15" customHeight="1" x14ac:dyDescent="0.25">
      <c r="B72" s="29">
        <v>11</v>
      </c>
      <c r="C72" s="6" t="s">
        <v>49</v>
      </c>
      <c r="D72" s="6" t="s">
        <v>50</v>
      </c>
      <c r="E72" s="7" t="s">
        <v>10</v>
      </c>
      <c r="F72" s="5" t="s">
        <v>20</v>
      </c>
      <c r="G72" s="5" t="s">
        <v>12</v>
      </c>
      <c r="H72" s="20">
        <v>4842.21</v>
      </c>
      <c r="I72" s="20">
        <v>4842.21</v>
      </c>
      <c r="J72" s="35">
        <v>479.41</v>
      </c>
      <c r="K72" s="45">
        <f>Tabela4[[#This Row],[Rem. Bruta (2)]]-Tabela4[[#This Row],[Descontos]]</f>
        <v>4362.8</v>
      </c>
    </row>
    <row r="73" spans="2:11" ht="15" customHeight="1" x14ac:dyDescent="0.25">
      <c r="B73" s="29">
        <v>370</v>
      </c>
      <c r="C73" s="10" t="s">
        <v>119</v>
      </c>
      <c r="D73" s="9" t="s">
        <v>120</v>
      </c>
      <c r="E73" s="7" t="s">
        <v>10</v>
      </c>
      <c r="F73" s="21" t="s">
        <v>15</v>
      </c>
      <c r="G73" s="46">
        <v>46167</v>
      </c>
      <c r="H73" s="20">
        <v>2853.45</v>
      </c>
      <c r="I73" s="20">
        <f>2377.88+1188.94+1807.19+475.58+603.41+0.65+0.16+2.46+0.59+158.8</f>
        <v>6615.66</v>
      </c>
      <c r="J73" s="35">
        <f>174.11+89.17+173.06</f>
        <v>436.34000000000003</v>
      </c>
      <c r="K73" s="45">
        <f>Tabela4[[#This Row],[Rem. Bruta (2)]]-Tabela4[[#This Row],[Descontos]]</f>
        <v>6179.32</v>
      </c>
    </row>
    <row r="74" spans="2:11" ht="15" customHeight="1" x14ac:dyDescent="0.25">
      <c r="B74" s="29">
        <v>714</v>
      </c>
      <c r="C74" s="10" t="s">
        <v>161</v>
      </c>
      <c r="D74" s="9" t="s">
        <v>128</v>
      </c>
      <c r="E74" s="7" t="s">
        <v>10</v>
      </c>
      <c r="F74" s="21" t="s">
        <v>11</v>
      </c>
      <c r="G74" s="5" t="s">
        <v>12</v>
      </c>
      <c r="H74" s="20">
        <v>3891.07</v>
      </c>
      <c r="I74" s="20">
        <v>3891.07</v>
      </c>
      <c r="J74" s="35">
        <v>355.51</v>
      </c>
      <c r="K74" s="45">
        <f>Tabela4[[#This Row],[Rem. Bruta (2)]]-Tabela4[[#This Row],[Descontos]]</f>
        <v>3535.5600000000004</v>
      </c>
    </row>
    <row r="75" spans="2:11" ht="15" customHeight="1" x14ac:dyDescent="0.25">
      <c r="B75" s="29">
        <v>9</v>
      </c>
      <c r="C75" s="6" t="s">
        <v>51</v>
      </c>
      <c r="D75" s="6" t="s">
        <v>77</v>
      </c>
      <c r="E75" s="7" t="s">
        <v>10</v>
      </c>
      <c r="F75" s="19" t="s">
        <v>21</v>
      </c>
      <c r="G75" s="5" t="s">
        <v>12</v>
      </c>
      <c r="H75" s="20">
        <v>4842.21</v>
      </c>
      <c r="I75" s="20">
        <f>4842.21+80.88</f>
        <v>4923.09</v>
      </c>
      <c r="J75" s="35">
        <f>479.41+107.14+839.16</f>
        <v>1425.71</v>
      </c>
      <c r="K75" s="45">
        <f>Tabela4[[#This Row],[Rem. Bruta (2)]]-Tabela4[[#This Row],[Descontos]]</f>
        <v>3497.38</v>
      </c>
    </row>
    <row r="76" spans="2:11" ht="15" customHeight="1" x14ac:dyDescent="0.25">
      <c r="B76" s="29">
        <v>6</v>
      </c>
      <c r="C76" s="10" t="s">
        <v>52</v>
      </c>
      <c r="D76" s="10" t="s">
        <v>53</v>
      </c>
      <c r="E76" s="7" t="s">
        <v>24</v>
      </c>
      <c r="F76" s="5" t="s">
        <v>15</v>
      </c>
      <c r="G76" s="5" t="s">
        <v>12</v>
      </c>
      <c r="H76" s="20">
        <v>11497.74</v>
      </c>
      <c r="I76" s="20">
        <v>11497.74</v>
      </c>
      <c r="J76" s="35">
        <f>1324.85+17.5+988.07+656.58</f>
        <v>2987</v>
      </c>
      <c r="K76" s="45">
        <f>Tabela4[[#This Row],[Rem. Bruta (2)]]-Tabela4[[#This Row],[Descontos]]</f>
        <v>8510.74</v>
      </c>
    </row>
    <row r="77" spans="2:11" ht="15" customHeight="1" x14ac:dyDescent="0.25">
      <c r="B77" s="29">
        <v>509</v>
      </c>
      <c r="C77" s="10" t="s">
        <v>129</v>
      </c>
      <c r="D77" s="9" t="s">
        <v>150</v>
      </c>
      <c r="E77" s="7" t="s">
        <v>10</v>
      </c>
      <c r="F77" s="5" t="s">
        <v>68</v>
      </c>
      <c r="G77" s="5" t="s">
        <v>12</v>
      </c>
      <c r="H77" s="20">
        <v>3891.07</v>
      </c>
      <c r="I77" s="20">
        <f>1297.02+864.68+2594.05</f>
        <v>4755.75</v>
      </c>
      <c r="J77" s="35">
        <f>351.75+18.28+97.27+44.91</f>
        <v>512.20999999999992</v>
      </c>
      <c r="K77" s="45">
        <f>Tabela4[[#This Row],[Rem. Bruta (2)]]-Tabela4[[#This Row],[Descontos]]</f>
        <v>4243.54</v>
      </c>
    </row>
    <row r="78" spans="2:11" ht="15" customHeight="1" x14ac:dyDescent="0.25">
      <c r="B78" s="29">
        <v>125</v>
      </c>
      <c r="C78" s="10" t="s">
        <v>69</v>
      </c>
      <c r="D78" s="10" t="s">
        <v>70</v>
      </c>
      <c r="E78" s="7" t="s">
        <v>24</v>
      </c>
      <c r="F78" s="5" t="s">
        <v>15</v>
      </c>
      <c r="G78" s="5" t="s">
        <v>12</v>
      </c>
      <c r="H78" s="20">
        <v>10428.790000000001</v>
      </c>
      <c r="I78" s="20">
        <f>10428.79+1042.89</f>
        <v>11471.68</v>
      </c>
      <c r="J78" s="35">
        <f>1292.66+17.5+988.07+290.53</f>
        <v>2588.7600000000002</v>
      </c>
      <c r="K78" s="45">
        <f>Tabela4[[#This Row],[Rem. Bruta (2)]]-Tabela4[[#This Row],[Descontos]]</f>
        <v>8882.92</v>
      </c>
    </row>
    <row r="79" spans="2:11" ht="15" customHeight="1" x14ac:dyDescent="0.25">
      <c r="B79" s="29">
        <v>96</v>
      </c>
      <c r="C79" s="10" t="s">
        <v>96</v>
      </c>
      <c r="D79" s="10" t="s">
        <v>19</v>
      </c>
      <c r="E79" s="7" t="s">
        <v>10</v>
      </c>
      <c r="F79" s="5" t="s">
        <v>18</v>
      </c>
      <c r="G79" s="5" t="s">
        <v>12</v>
      </c>
      <c r="H79" s="20">
        <v>3891.07</v>
      </c>
      <c r="I79" s="20">
        <f>3891.07</f>
        <v>3891.07</v>
      </c>
      <c r="J79" s="35">
        <f>355.51+97.64</f>
        <v>453.15</v>
      </c>
      <c r="K79" s="45">
        <f>Tabela4[[#This Row],[Rem. Bruta (2)]]-Tabela4[[#This Row],[Descontos]]</f>
        <v>3437.92</v>
      </c>
    </row>
    <row r="80" spans="2:11" ht="15" customHeight="1" x14ac:dyDescent="0.25">
      <c r="B80" s="29">
        <v>703</v>
      </c>
      <c r="C80" s="10" t="s">
        <v>162</v>
      </c>
      <c r="D80" s="10" t="s">
        <v>150</v>
      </c>
      <c r="E80" s="7" t="s">
        <v>163</v>
      </c>
      <c r="F80" s="5" t="s">
        <v>68</v>
      </c>
      <c r="G80" s="5" t="s">
        <v>12</v>
      </c>
      <c r="H80" s="20">
        <v>3891.07</v>
      </c>
      <c r="I80" s="20">
        <v>3891.07</v>
      </c>
      <c r="J80" s="35">
        <v>355.51</v>
      </c>
      <c r="K80" s="45">
        <f>Tabela4[[#This Row],[Rem. Bruta (2)]]-Tabela4[[#This Row],[Descontos]]</f>
        <v>3535.5600000000004</v>
      </c>
    </row>
    <row r="81" spans="2:11" ht="15" customHeight="1" x14ac:dyDescent="0.25">
      <c r="B81" s="29">
        <v>197</v>
      </c>
      <c r="C81" s="10" t="s">
        <v>99</v>
      </c>
      <c r="D81" s="10" t="s">
        <v>83</v>
      </c>
      <c r="E81" s="7" t="s">
        <v>10</v>
      </c>
      <c r="F81" s="5" t="s">
        <v>11</v>
      </c>
      <c r="G81" s="5" t="s">
        <v>12</v>
      </c>
      <c r="H81" s="20">
        <v>3891.07</v>
      </c>
      <c r="I81" s="20">
        <f>3891.07+64.85</f>
        <v>3955.92</v>
      </c>
      <c r="J81" s="35">
        <v>355.51</v>
      </c>
      <c r="K81" s="45">
        <f>Tabela4[[#This Row],[Rem. Bruta (2)]]-Tabela4[[#This Row],[Descontos]]</f>
        <v>3600.41</v>
      </c>
    </row>
    <row r="82" spans="2:11" ht="15" customHeight="1" x14ac:dyDescent="0.25">
      <c r="B82" s="29">
        <v>143</v>
      </c>
      <c r="C82" s="10" t="s">
        <v>80</v>
      </c>
      <c r="D82" s="9" t="s">
        <v>150</v>
      </c>
      <c r="E82" s="7" t="s">
        <v>10</v>
      </c>
      <c r="F82" s="5" t="s">
        <v>68</v>
      </c>
      <c r="G82" s="5" t="s">
        <v>12</v>
      </c>
      <c r="H82" s="20">
        <v>3891.07</v>
      </c>
      <c r="I82" s="20">
        <v>3891.07</v>
      </c>
      <c r="J82" s="35">
        <v>355.51</v>
      </c>
      <c r="K82" s="45">
        <f>Tabela4[[#This Row],[Rem. Bruta (2)]]-Tabela4[[#This Row],[Descontos]]</f>
        <v>3535.5600000000004</v>
      </c>
    </row>
    <row r="83" spans="2:11" ht="15" customHeight="1" x14ac:dyDescent="0.25">
      <c r="B83" s="29">
        <v>3</v>
      </c>
      <c r="C83" s="10" t="s">
        <v>54</v>
      </c>
      <c r="D83" s="10" t="s">
        <v>28</v>
      </c>
      <c r="E83" s="18" t="s">
        <v>24</v>
      </c>
      <c r="F83" s="19" t="s">
        <v>21</v>
      </c>
      <c r="G83" s="5" t="s">
        <v>12</v>
      </c>
      <c r="H83" s="20">
        <v>17657.21</v>
      </c>
      <c r="I83" s="20">
        <f>14125.77+1177.15+3531.44+540.07</f>
        <v>19374.43</v>
      </c>
      <c r="J83" s="35">
        <f>1553.84+540.07+988.07+601.1+1255.04</f>
        <v>4938.12</v>
      </c>
      <c r="K83" s="45">
        <f>Tabela4[[#This Row],[Rem. Bruta (2)]]-Tabela4[[#This Row],[Descontos]]</f>
        <v>14436.310000000001</v>
      </c>
    </row>
    <row r="84" spans="2:11" ht="15" customHeight="1" x14ac:dyDescent="0.25">
      <c r="B84" s="29">
        <v>26</v>
      </c>
      <c r="C84" s="11" t="s">
        <v>55</v>
      </c>
      <c r="D84" s="11" t="s">
        <v>39</v>
      </c>
      <c r="E84" s="7" t="s">
        <v>10</v>
      </c>
      <c r="F84" s="19" t="s">
        <v>21</v>
      </c>
      <c r="G84" s="5" t="s">
        <v>12</v>
      </c>
      <c r="H84" s="20">
        <v>4729.6099999999997</v>
      </c>
      <c r="I84" s="20">
        <v>4729.6099999999997</v>
      </c>
      <c r="J84" s="35">
        <v>463.64</v>
      </c>
      <c r="K84" s="45">
        <f>Tabela4[[#This Row],[Rem. Bruta (2)]]-Tabela4[[#This Row],[Descontos]]</f>
        <v>4265.9699999999993</v>
      </c>
    </row>
    <row r="85" spans="2:11" ht="15" customHeight="1" x14ac:dyDescent="0.25">
      <c r="B85" s="29">
        <v>16</v>
      </c>
      <c r="C85" s="11" t="s">
        <v>56</v>
      </c>
      <c r="D85" s="11" t="s">
        <v>39</v>
      </c>
      <c r="E85" s="7" t="s">
        <v>10</v>
      </c>
      <c r="F85" s="19" t="s">
        <v>21</v>
      </c>
      <c r="G85" s="5" t="s">
        <v>12</v>
      </c>
      <c r="H85" s="20">
        <v>4729.6099999999997</v>
      </c>
      <c r="I85" s="20">
        <v>4729.6099999999997</v>
      </c>
      <c r="J85" s="35">
        <v>463.64</v>
      </c>
      <c r="K85" s="45">
        <f>Tabela4[[#This Row],[Rem. Bruta (2)]]-Tabela4[[#This Row],[Descontos]]</f>
        <v>4265.9699999999993</v>
      </c>
    </row>
    <row r="86" spans="2:11" ht="15" customHeight="1" x14ac:dyDescent="0.25">
      <c r="B86" s="29">
        <v>600</v>
      </c>
      <c r="C86" s="11" t="s">
        <v>149</v>
      </c>
      <c r="D86" s="9" t="s">
        <v>150</v>
      </c>
      <c r="E86" s="7" t="s">
        <v>14</v>
      </c>
      <c r="F86" s="19" t="s">
        <v>68</v>
      </c>
      <c r="G86" s="5" t="s">
        <v>12</v>
      </c>
      <c r="H86" s="20">
        <v>3891.07</v>
      </c>
      <c r="I86" s="20">
        <v>3891.07</v>
      </c>
      <c r="J86" s="35">
        <f>355.51+233.46</f>
        <v>588.97</v>
      </c>
      <c r="K86" s="45">
        <f>Tabela4[[#This Row],[Rem. Bruta (2)]]-Tabela4[[#This Row],[Descontos]]</f>
        <v>3302.1000000000004</v>
      </c>
    </row>
    <row r="87" spans="2:11" ht="15" customHeight="1" x14ac:dyDescent="0.25">
      <c r="B87" s="29">
        <v>18</v>
      </c>
      <c r="C87" s="9" t="s">
        <v>57</v>
      </c>
      <c r="D87" s="9" t="s">
        <v>77</v>
      </c>
      <c r="E87" s="7" t="s">
        <v>10</v>
      </c>
      <c r="F87" s="19" t="s">
        <v>21</v>
      </c>
      <c r="G87" s="5" t="s">
        <v>12</v>
      </c>
      <c r="H87" s="20">
        <v>4842.21</v>
      </c>
      <c r="I87" s="20">
        <f>4842.21+80.88</f>
        <v>4923.09</v>
      </c>
      <c r="J87" s="35">
        <v>479.41</v>
      </c>
      <c r="K87" s="45">
        <f>Tabela4[[#This Row],[Rem. Bruta (2)]]-Tabela4[[#This Row],[Descontos]]</f>
        <v>4443.68</v>
      </c>
    </row>
    <row r="88" spans="2:11" ht="15" customHeight="1" x14ac:dyDescent="0.25">
      <c r="B88" s="29">
        <v>48</v>
      </c>
      <c r="C88" s="10" t="s">
        <v>58</v>
      </c>
      <c r="D88" s="10" t="s">
        <v>60</v>
      </c>
      <c r="E88" s="7" t="s">
        <v>10</v>
      </c>
      <c r="F88" s="8" t="s">
        <v>11</v>
      </c>
      <c r="G88" s="5" t="s">
        <v>12</v>
      </c>
      <c r="H88" s="20">
        <v>3416.25</v>
      </c>
      <c r="I88" s="20">
        <f>3416.25+1024.88</f>
        <v>4441.13</v>
      </c>
      <c r="J88" s="35">
        <v>423.26</v>
      </c>
      <c r="K88" s="45">
        <f>Tabela4[[#This Row],[Rem. Bruta (2)]]-Tabela4[[#This Row],[Descontos]]</f>
        <v>4017.87</v>
      </c>
    </row>
    <row r="89" spans="2:11" ht="15" customHeight="1" x14ac:dyDescent="0.25">
      <c r="B89" s="29">
        <v>164</v>
      </c>
      <c r="C89" s="10" t="s">
        <v>88</v>
      </c>
      <c r="D89" s="10" t="s">
        <v>19</v>
      </c>
      <c r="E89" s="7" t="s">
        <v>10</v>
      </c>
      <c r="F89" s="8" t="s">
        <v>11</v>
      </c>
      <c r="G89" s="46">
        <v>46169</v>
      </c>
      <c r="H89" s="20">
        <v>3891.07</v>
      </c>
      <c r="I89" s="20">
        <f>3501.96+1621.28+2594.05+11.27+2.71+869.34</f>
        <v>8600.61</v>
      </c>
      <c r="J89" s="35">
        <f>293.69+121.59+126.07</f>
        <v>541.34999999999991</v>
      </c>
      <c r="K89" s="45">
        <f>Tabela4[[#This Row],[Rem. Bruta (2)]]-Tabela4[[#This Row],[Descontos]]</f>
        <v>8059.26</v>
      </c>
    </row>
    <row r="90" spans="2:11" ht="15" customHeight="1" x14ac:dyDescent="0.25">
      <c r="B90" s="29">
        <v>532</v>
      </c>
      <c r="C90" s="10" t="s">
        <v>130</v>
      </c>
      <c r="D90" s="10" t="s">
        <v>107</v>
      </c>
      <c r="E90" s="7" t="s">
        <v>10</v>
      </c>
      <c r="F90" s="8" t="s">
        <v>68</v>
      </c>
      <c r="G90" s="5" t="s">
        <v>12</v>
      </c>
      <c r="H90" s="20">
        <v>3891.07</v>
      </c>
      <c r="I90" s="20">
        <v>3891.07</v>
      </c>
      <c r="J90" s="35">
        <f>355.51+233.46</f>
        <v>588.97</v>
      </c>
      <c r="K90" s="45">
        <f>Tabela4[[#This Row],[Rem. Bruta (2)]]-Tabela4[[#This Row],[Descontos]]</f>
        <v>3302.1000000000004</v>
      </c>
    </row>
    <row r="91" spans="2:11" ht="15" customHeight="1" x14ac:dyDescent="0.25">
      <c r="B91" s="30">
        <v>218</v>
      </c>
      <c r="C91" s="31" t="s">
        <v>110</v>
      </c>
      <c r="D91" s="9" t="s">
        <v>150</v>
      </c>
      <c r="E91" s="22" t="s">
        <v>10</v>
      </c>
      <c r="F91" s="32" t="s">
        <v>68</v>
      </c>
      <c r="G91" s="21" t="s">
        <v>12</v>
      </c>
      <c r="H91" s="34">
        <v>3891.07</v>
      </c>
      <c r="I91" s="20">
        <v>3891.07</v>
      </c>
      <c r="J91" s="20">
        <f>355.51+233.46</f>
        <v>588.97</v>
      </c>
      <c r="K91" s="45">
        <f>Tabela4[[#This Row],[Rem. Bruta (2)]]-Tabela4[[#This Row],[Descontos]]</f>
        <v>3302.1000000000004</v>
      </c>
    </row>
    <row r="92" spans="2:11" s="3" customFormat="1" x14ac:dyDescent="0.25">
      <c r="B92" s="24"/>
      <c r="C92" s="24"/>
      <c r="D92" s="24"/>
      <c r="E92" s="24"/>
      <c r="F92" s="24"/>
      <c r="G92" s="24"/>
      <c r="H92" s="24"/>
      <c r="I92" s="28"/>
      <c r="J92" s="28"/>
      <c r="K92" s="28"/>
    </row>
    <row r="93" spans="2:11" s="3" customFormat="1" x14ac:dyDescent="0.25">
      <c r="B93" s="41">
        <v>81</v>
      </c>
      <c r="C93" s="40" t="s">
        <v>151</v>
      </c>
      <c r="D93" s="44" t="s">
        <v>143</v>
      </c>
      <c r="E93" s="44">
        <v>1</v>
      </c>
      <c r="H93" s="42" t="s">
        <v>132</v>
      </c>
      <c r="I93" s="43">
        <f>SUM(I10:I91)</f>
        <v>514286.12000000011</v>
      </c>
      <c r="J93" s="43">
        <f>SUM(J10:J91)</f>
        <v>97728.02</v>
      </c>
      <c r="K93" s="43">
        <f>SUM(K10:K91)</f>
        <v>416558.09999999969</v>
      </c>
    </row>
    <row r="94" spans="2:11" x14ac:dyDescent="0.25">
      <c r="B94" s="41">
        <v>1</v>
      </c>
      <c r="C94" s="40" t="s">
        <v>155</v>
      </c>
      <c r="D94" s="44" t="s">
        <v>144</v>
      </c>
      <c r="E94" s="44">
        <v>3</v>
      </c>
    </row>
    <row r="95" spans="2:11" x14ac:dyDescent="0.25">
      <c r="B95" s="41">
        <v>3</v>
      </c>
      <c r="C95" s="40" t="s">
        <v>137</v>
      </c>
      <c r="D95" s="44"/>
      <c r="E95" s="44"/>
    </row>
    <row r="96" spans="2:11" x14ac:dyDescent="0.25">
      <c r="B96" s="41">
        <f>B93+B94-B95</f>
        <v>79</v>
      </c>
      <c r="C96" s="40" t="s">
        <v>152</v>
      </c>
    </row>
    <row r="97" spans="1:12" s="3" customFormat="1" x14ac:dyDescent="0.25">
      <c r="B97" s="44" t="s">
        <v>142</v>
      </c>
      <c r="C97" s="2"/>
      <c r="F97" s="23"/>
      <c r="G97" s="23"/>
      <c r="H97" s="2"/>
      <c r="I97" s="12"/>
      <c r="J97" s="2"/>
      <c r="K97" s="13"/>
    </row>
    <row r="98" spans="1:12" x14ac:dyDescent="0.25">
      <c r="B98" s="51" t="s">
        <v>141</v>
      </c>
      <c r="C98" s="51"/>
      <c r="D98" s="51"/>
      <c r="E98" s="51"/>
      <c r="F98" s="51"/>
      <c r="G98" s="51"/>
      <c r="H98" s="51"/>
      <c r="I98" s="51"/>
      <c r="J98" s="51"/>
      <c r="K98" s="51"/>
    </row>
    <row r="99" spans="1:12" x14ac:dyDescent="0.25">
      <c r="B99" s="51" t="s">
        <v>136</v>
      </c>
      <c r="C99" s="51"/>
      <c r="D99" s="51"/>
      <c r="E99" s="51"/>
      <c r="F99" s="51"/>
      <c r="G99" s="51"/>
      <c r="H99" s="51"/>
      <c r="I99" s="51"/>
      <c r="J99" s="51"/>
      <c r="K99" s="51"/>
    </row>
    <row r="100" spans="1:12" x14ac:dyDescent="0.25">
      <c r="B100" s="51" t="s">
        <v>138</v>
      </c>
      <c r="C100" s="51"/>
      <c r="D100" s="51"/>
      <c r="E100" s="51"/>
      <c r="F100" s="51"/>
      <c r="G100" s="51"/>
      <c r="H100" s="51"/>
      <c r="I100" s="51"/>
      <c r="J100" s="51"/>
      <c r="K100" s="51"/>
    </row>
    <row r="104" spans="1:12" s="3" customFormat="1" x14ac:dyDescent="0.25">
      <c r="A104"/>
      <c r="B104" s="1"/>
      <c r="C104" s="4"/>
      <c r="D104"/>
      <c r="E104"/>
      <c r="F104" s="2"/>
      <c r="G104" s="2"/>
      <c r="H104" s="2"/>
      <c r="I104" s="2"/>
      <c r="J104" s="2"/>
      <c r="K104" s="2"/>
      <c r="L104"/>
    </row>
    <row r="105" spans="1:12" s="3" customFormat="1" x14ac:dyDescent="0.25">
      <c r="A105"/>
      <c r="B105" s="1"/>
      <c r="C105" s="4"/>
      <c r="D105"/>
      <c r="E105"/>
      <c r="F105" s="1"/>
      <c r="G105" s="1"/>
      <c r="H105" s="2"/>
      <c r="I105" s="12"/>
      <c r="J105" s="2"/>
      <c r="K105" s="2"/>
      <c r="L105"/>
    </row>
  </sheetData>
  <mergeCells count="8">
    <mergeCell ref="B98:K98"/>
    <mergeCell ref="B99:K99"/>
    <mergeCell ref="B100:K100"/>
    <mergeCell ref="D2:F2"/>
    <mergeCell ref="D3:F3"/>
    <mergeCell ref="D4:F4"/>
    <mergeCell ref="D5:F5"/>
    <mergeCell ref="I8:K8"/>
  </mergeCells>
  <pageMargins left="0.55118110236220474" right="0.15748031496062992" top="0.15748031496062992" bottom="0.19685039370078741" header="0.15748031496062992" footer="0.15748031496062992"/>
  <pageSetup paperSize="9" scale="5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Maio</vt:lpstr>
      <vt:lpstr>Maio!Area_de_impressao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Rosa Boleta</dc:creator>
  <cp:lastModifiedBy>Reginaldo Adami Janoni</cp:lastModifiedBy>
  <cp:lastPrinted>2025-03-27T18:03:30Z</cp:lastPrinted>
  <dcterms:created xsi:type="dcterms:W3CDTF">2021-02-08T17:07:20Z</dcterms:created>
  <dcterms:modified xsi:type="dcterms:W3CDTF">2026-07-14T13:44:49Z</dcterms:modified>
</cp:coreProperties>
</file>