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5\23. PORTAL TRANSPARÊNCIA (SITE)\3 CONCILIAÇÃO FINANCEIRA\"/>
    </mc:Choice>
  </mc:AlternateContent>
  <bookViews>
    <workbookView xWindow="0" yWindow="0" windowWidth="24000" windowHeight="9135"/>
  </bookViews>
  <sheets>
    <sheet name="Conciliação Financeira" sheetId="8" r:id="rId1"/>
  </sheets>
  <externalReferences>
    <externalReference r:id="rId2"/>
  </externalReferences>
  <definedNames>
    <definedName name="___bdf337">'[1]BD DESPESAS'!#REF!</definedName>
    <definedName name="__bdf337">#REF!</definedName>
    <definedName name="_bdf337">#REF!</definedName>
    <definedName name="_xlnm.Print_Area" localSheetId="0">'Conciliação Financeira'!$A$1:$Q$67</definedName>
    <definedName name="ss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8" l="1"/>
  <c r="J37" i="8"/>
  <c r="J47" i="8"/>
  <c r="J51" i="8" l="1"/>
  <c r="J50" i="8"/>
  <c r="J57" i="8" l="1"/>
  <c r="K57" i="8" s="1"/>
  <c r="E39" i="8"/>
  <c r="E47" i="8"/>
  <c r="E55" i="8"/>
  <c r="J52" i="8" l="1"/>
  <c r="D59" i="8"/>
  <c r="E58" i="8"/>
  <c r="J56" i="8" s="1"/>
  <c r="K56" i="8" s="1"/>
  <c r="D58" i="8"/>
  <c r="D55" i="8"/>
  <c r="B54" i="8"/>
  <c r="B53" i="8"/>
  <c r="B52" i="8"/>
  <c r="B51" i="8"/>
  <c r="B50" i="8"/>
  <c r="B49" i="8"/>
  <c r="D47" i="8"/>
  <c r="D39" i="8"/>
  <c r="J58" i="8" l="1"/>
  <c r="E59" i="8"/>
  <c r="J46" i="8" l="1"/>
  <c r="J33" i="8" l="1"/>
  <c r="D28" i="8" l="1"/>
  <c r="D27" i="8"/>
  <c r="P30" i="8"/>
  <c r="O30" i="8"/>
  <c r="N30" i="8"/>
  <c r="M30" i="8"/>
  <c r="L30" i="8"/>
  <c r="K30" i="8"/>
  <c r="J30" i="8"/>
  <c r="I30" i="8"/>
  <c r="H30" i="8"/>
  <c r="G30" i="8"/>
  <c r="F30" i="8"/>
  <c r="E30" i="8"/>
  <c r="D29" i="8"/>
  <c r="D26" i="8"/>
  <c r="D25" i="8"/>
  <c r="D24" i="8"/>
  <c r="D23" i="8"/>
  <c r="D22" i="8"/>
  <c r="D21" i="8"/>
  <c r="D20" i="8"/>
  <c r="D19" i="8"/>
  <c r="P16" i="8"/>
  <c r="O16" i="8"/>
  <c r="N16" i="8"/>
  <c r="M16" i="8"/>
  <c r="L16" i="8"/>
  <c r="K16" i="8"/>
  <c r="J16" i="8"/>
  <c r="I16" i="8"/>
  <c r="H16" i="8"/>
  <c r="G16" i="8"/>
  <c r="F16" i="8"/>
  <c r="E16" i="8"/>
  <c r="D11" i="8"/>
  <c r="D10" i="8"/>
  <c r="D9" i="8"/>
  <c r="D15" i="8"/>
  <c r="D14" i="8"/>
  <c r="D13" i="8"/>
  <c r="D12" i="8"/>
  <c r="D8" i="8"/>
  <c r="J35" i="8" s="1"/>
  <c r="K33" i="8" l="1"/>
  <c r="J36" i="8"/>
  <c r="K35" i="8"/>
  <c r="K34" i="8"/>
  <c r="D30" i="8"/>
  <c r="J40" i="8" s="1"/>
  <c r="J41" i="8" s="1"/>
  <c r="D16" i="8"/>
  <c r="J34" i="8" l="1"/>
  <c r="J38" i="8" s="1"/>
  <c r="J42" i="8" s="1"/>
</calcChain>
</file>

<file path=xl/sharedStrings.xml><?xml version="1.0" encoding="utf-8"?>
<sst xmlns="http://schemas.openxmlformats.org/spreadsheetml/2006/main" count="105" uniqueCount="92">
  <si>
    <t>Associação Cultural de Apoio ao Museu Casa de Portinari - Organização Social de Cultura</t>
  </si>
  <si>
    <t>Meses</t>
  </si>
  <si>
    <t>Aplicações dos Recursos</t>
  </si>
  <si>
    <t>Origens dos Recursos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</si>
  <si>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</si>
  <si>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</si>
  <si>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</si>
  <si>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</si>
  <si>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</si>
  <si>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</si>
  <si>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</si>
  <si>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</si>
  <si>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</si>
  <si>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</si>
  <si>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</si>
  <si>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</si>
  <si>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Receita - Repasse Contrato de Gestão</t>
  </si>
  <si>
    <t>Receita - Cessão Onerosa de Espaço</t>
  </si>
  <si>
    <t>Receita - Bilheteria</t>
  </si>
  <si>
    <t>Receita - Comércio (Loja)</t>
  </si>
  <si>
    <t>Receita - Parceiros</t>
  </si>
  <si>
    <t>Receita - Doações</t>
  </si>
  <si>
    <t>Receita - Demais</t>
  </si>
  <si>
    <t>Total Anual</t>
  </si>
  <si>
    <t>Despesas RH - CLT (Salários - Encargos Sociais - Benefícios)</t>
  </si>
  <si>
    <t>Despesas RH - Estágio (Bolsa - Benefícios)</t>
  </si>
  <si>
    <t>Despesas Administrativas e Institucionais</t>
  </si>
  <si>
    <t>Despesas Programas Edificações</t>
  </si>
  <si>
    <t>Despesas Programa Acervos</t>
  </si>
  <si>
    <t>Despesas Programas Exposições e Programações Culturais</t>
  </si>
  <si>
    <t>Despesas Programas Educativos</t>
  </si>
  <si>
    <t>Despesas Programas Conexões Museus - SP</t>
  </si>
  <si>
    <t>Despesas Programas Gestão Museológica</t>
  </si>
  <si>
    <t>Despesas Programas Comunicação</t>
  </si>
  <si>
    <t>Aquisições Bens Duráveis (Imobilizado)</t>
  </si>
  <si>
    <t>Contas Detentoras dos Recursos Financeiros</t>
  </si>
  <si>
    <t>Caixa Sede - Organização Social</t>
  </si>
  <si>
    <t>Caixa Museu Casa de Portinari - Loja</t>
  </si>
  <si>
    <t>Caixa Museu Casa de Portinari - Programa Parceiros/Sócios</t>
  </si>
  <si>
    <t>Caixa Museu Felícia Leirner / ACS - Bilheteria</t>
  </si>
  <si>
    <t>Caixa Museu das Culturas Indígenas - Bilheteria</t>
  </si>
  <si>
    <t>Ano 2024</t>
  </si>
  <si>
    <t>Contas Caixa</t>
  </si>
  <si>
    <t xml:space="preserve">Contas Correntes </t>
  </si>
  <si>
    <t>Banco do Brasil S.A. - Agência 351-4 Conta 40.807-7</t>
  </si>
  <si>
    <t xml:space="preserve">Banco do Brasil S.A. - Agência 351-4 Conta 40.808-5 </t>
  </si>
  <si>
    <t>Banco do Brasil S.A. - Agência 351-4 Conta 40.809-3</t>
  </si>
  <si>
    <t>Banco do Brasil S.A. - Agência 351-4 Conta 40.810-7</t>
  </si>
  <si>
    <t>Banco do Brasil S.A. - Agência 351-4 Conta 40.811-5</t>
  </si>
  <si>
    <t>Contas Aplicações</t>
  </si>
  <si>
    <t>Recursos em Poder Empresa de Transporte de Valores</t>
  </si>
  <si>
    <t>Numerários em Trânsito</t>
  </si>
  <si>
    <t>Ano 2025</t>
  </si>
  <si>
    <t xml:space="preserve">Receita - Financeiras </t>
  </si>
  <si>
    <t>Conciliação Financeira</t>
  </si>
  <si>
    <t>(+) Total de recursos disponíveis em Caixas</t>
  </si>
  <si>
    <t>(+) Total de recursos disponíveis em Contas Correntes</t>
  </si>
  <si>
    <t>(+) Total de recursos disponíveis em Contas Aplicações</t>
  </si>
  <si>
    <t>(+) Total de numerários em Trânsito</t>
  </si>
  <si>
    <t>(+) Total Geral de Recursos Disponíveis</t>
  </si>
  <si>
    <t>(+) Total dos Recursos Recebidos</t>
  </si>
  <si>
    <t>(-) Total dos Recursos Aplicados</t>
  </si>
  <si>
    <t>(+) Repasses do Contrato de Gestão</t>
  </si>
  <si>
    <t>(+) Rendimentos com Aplicações Financeiras</t>
  </si>
  <si>
    <t>(+) Saldo de recursos disponíveis do exercício anterior</t>
  </si>
  <si>
    <t>(+) Total de recursos recebidos no exercício corrente</t>
  </si>
  <si>
    <t>(-) Aplicações de recursos no exercício corrente</t>
  </si>
  <si>
    <t>(-) Desembolsos de Recursos (Despesas / Investimentos)</t>
  </si>
  <si>
    <t>Gráfico - Participação das Receitas (Origens dos Recursos)</t>
  </si>
  <si>
    <t>Repasses Públicos do Governo do Estado de São Paulo - SCEIC</t>
  </si>
  <si>
    <t>Rendimentos Financeiros Bruto</t>
  </si>
  <si>
    <t>Receitas com Captações Diversas e Demais</t>
  </si>
  <si>
    <t>(+) Recursos destinados ao Fundo de Contingência</t>
  </si>
  <si>
    <t>(+) Recursos destinados ao Fundo de Reserva</t>
  </si>
  <si>
    <t>(+) Receitas com Captações Diversas e Demais</t>
  </si>
  <si>
    <t>(=) Saldo total de recursos disponíveis (1)</t>
  </si>
  <si>
    <t>(=) Total de recursos aplicados no exercício corrente (2)</t>
  </si>
  <si>
    <t>(=) Total de Recursos Vinculados aos Fundos</t>
  </si>
  <si>
    <t>(+) Rendimentos Financeiros dos Fundos</t>
  </si>
  <si>
    <t>(-) Despesas Financeiras dos Fundos</t>
  </si>
  <si>
    <t>(-) Utilização de Recursos dos Fundos</t>
  </si>
  <si>
    <t>(+) Recursos não vinculados aos Fundos</t>
  </si>
  <si>
    <t>(+) Recursos vinculados aos Fundos</t>
  </si>
  <si>
    <t>(=) Total de Recursos disponíveis</t>
  </si>
  <si>
    <t>Composição dos Fundos</t>
  </si>
  <si>
    <t>(+) Saldo do exercício anterior</t>
  </si>
  <si>
    <t>Composição dos Recursos Disponíveis</t>
  </si>
  <si>
    <t>Gráfico - Participação dos Recursos Disponíveis</t>
  </si>
  <si>
    <t>Contrato de Gestão n.º 04/2021</t>
  </si>
  <si>
    <t>Demonstrativo de Recursos Disponíveis e Conciliação Financeira</t>
  </si>
  <si>
    <t>CEF - Agência 2105 Conta 1292.000577540271-1</t>
  </si>
  <si>
    <t>(=) saldo de recursos disponíveis para aplicação (1 - 2)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</si>
</sst>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43" fontId="0" fillId="0" borderId="0" xfId="0" applyNumberFormat="1" applyFont="1"/>
    <xf numFmtId="43" fontId="3" fillId="0" borderId="0" xfId="3" applyFo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43" fontId="5" fillId="0" borderId="0" xfId="0" applyNumberFormat="1" applyFont="1"/>
    <xf numFmtId="43" fontId="5" fillId="0" borderId="0" xfId="3" applyFont="1"/>
    <xf numFmtId="0" fontId="4" fillId="0" borderId="0" xfId="0" applyFont="1"/>
    <xf numFmtId="43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3" fontId="5" fillId="0" borderId="0" xfId="0" applyNumberFormat="1" applyFont="1" applyBorder="1"/>
    <xf numFmtId="43" fontId="4" fillId="0" borderId="0" xfId="3" applyFont="1"/>
    <xf numFmtId="43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43" fontId="4" fillId="0" borderId="5" xfId="0" applyNumberFormat="1" applyFont="1" applyBorder="1"/>
    <xf numFmtId="43" fontId="4" fillId="0" borderId="5" xfId="3" applyFont="1" applyBorder="1"/>
    <xf numFmtId="43" fontId="5" fillId="0" borderId="5" xfId="3" applyFont="1" applyBorder="1"/>
    <xf numFmtId="43" fontId="5" fillId="0" borderId="5" xfId="0" applyNumberFormat="1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43" fontId="4" fillId="0" borderId="0" xfId="0" applyNumberFormat="1" applyFont="1" applyFill="1"/>
    <xf numFmtId="0" fontId="7" fillId="0" borderId="0" xfId="0" applyFont="1" applyAlignment="1">
      <alignment horizontal="center"/>
    </xf>
    <xf numFmtId="43" fontId="0" fillId="0" borderId="0" xfId="3" applyFont="1"/>
    <xf numFmtId="43" fontId="6" fillId="0" borderId="5" xfId="3" applyFont="1" applyBorder="1"/>
    <xf numFmtId="43" fontId="6" fillId="0" borderId="5" xfId="0" applyNumberFormat="1" applyFont="1" applyBorder="1"/>
    <xf numFmtId="43" fontId="7" fillId="0" borderId="5" xfId="3" applyFont="1" applyBorder="1"/>
    <xf numFmtId="43" fontId="4" fillId="0" borderId="8" xfId="3" applyFont="1" applyBorder="1"/>
    <xf numFmtId="43" fontId="7" fillId="0" borderId="5" xfId="0" applyNumberFormat="1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Moeda 2" xfId="1"/>
    <cellStyle name="Normal" xfId="0" builtinId="0"/>
    <cellStyle name="Vírgula" xfId="3" builtinId="3"/>
    <cellStyle name="Vírgula 2" xfId="2"/>
  </cellStyles>
  <dxfs count="0"/>
  <tableStyles count="0" defaultTableStyle="TableStyleMedium2" defaultPivotStyle="PivotStyleLight16"/>
  <colors>
    <mruColors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'Conciliação Financeira'!$K$33:$K$35</c:f>
              <c:numCache>
                <c:formatCode>_(* #,##0.00_);_(* \(#,##0.00\);_(* "-"??_);_(@_)</c:formatCode>
                <c:ptCount val="3"/>
                <c:pt idx="0">
                  <c:v>20112292</c:v>
                </c:pt>
                <c:pt idx="1">
                  <c:v>913954.59699999995</c:v>
                </c:pt>
                <c:pt idx="2">
                  <c:v>1148233.05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'Conciliação Financeira'!$L$33:$L$35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'Conciliação Financeira'!$K$56:$K$57</c:f>
              <c:numCache>
                <c:formatCode>_(* #,##0.00_);_(* \(#,##0.00\);_(* "-"??_);_(@_)</c:formatCode>
                <c:ptCount val="2"/>
                <c:pt idx="0">
                  <c:v>6582737.9399999985</c:v>
                </c:pt>
                <c:pt idx="1">
                  <c:v>1951241.53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276224</xdr:colOff>
      <xdr:row>36</xdr:row>
      <xdr:rowOff>61912</xdr:rowOff>
    </xdr:from>
    <xdr:to>
      <xdr:col>16</xdr:col>
      <xdr:colOff>171450</xdr:colOff>
      <xdr:row>50</xdr:row>
      <xdr:rowOff>138112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800099</xdr:colOff>
      <xdr:row>52</xdr:row>
      <xdr:rowOff>119062</xdr:rowOff>
    </xdr:from>
    <xdr:to>
      <xdr:col>16</xdr:col>
      <xdr:colOff>152399</xdr:colOff>
      <xdr:row>66</xdr:row>
      <xdr:rowOff>80962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361950</xdr:colOff>
      <xdr:row>1</xdr:row>
      <xdr:rowOff>0</xdr:rowOff>
    </xdr:from>
    <xdr:to>
      <xdr:col>6</xdr:col>
      <xdr:colOff>495300</xdr:colOff>
      <xdr:row>2</xdr:row>
      <xdr:rowOff>90805</xdr:rowOff>
    </xdr:to>
    <xdr:pic>
      <xdr:nvPicPr>
        <xdr:cNvPr id="6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409575" y="190500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69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5" sqref="B5:F5"/>
    </sheetView>
  </sheetViews>
  <sheetFormatPr defaultRowHeight="15" x14ac:dyDescent="0.25"/>
  <cols>
    <col min="1" max="1" width="0.7109375" style="2" customWidth="1"/>
    <col min="2" max="2" width="52.42578125" style="2" customWidth="1"/>
    <col min="3" max="3" width="4.85546875" style="2" customWidth="1"/>
    <col min="4" max="8" width="16.7109375" style="2" customWidth="1"/>
    <col min="9" max="9" width="17.28515625" style="2" customWidth="1"/>
    <col min="10" max="16" width="16.7109375" style="2" customWidth="1"/>
    <col min="17" max="16384" width="9.140625" style="2"/>
  </cols>
  <sheetData>
    <row r="4" spans="2:16" s="1" customFormat="1" x14ac:dyDescent="0.25">
      <c r="B4" s="49" t="s">
        <v>0</v>
      </c>
      <c r="C4" s="49"/>
      <c r="D4" s="49"/>
      <c r="E4" s="49"/>
      <c r="F4" s="49"/>
    </row>
    <row r="5" spans="2:16" s="1" customFormat="1" x14ac:dyDescent="0.25">
      <c r="B5" s="49" t="s">
        <v>89</v>
      </c>
      <c r="C5" s="49"/>
      <c r="D5" s="49"/>
      <c r="E5" s="49"/>
      <c r="F5" s="49"/>
    </row>
    <row r="6" spans="2:16" s="1" customFormat="1" x14ac:dyDescent="0.25">
      <c r="B6" s="7" t="s">
        <v>88</v>
      </c>
      <c r="E6" s="49" t="s">
        <v>1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s="3" customFormat="1" x14ac:dyDescent="0.25">
      <c r="B7" s="7" t="s">
        <v>3</v>
      </c>
      <c r="C7" s="7"/>
      <c r="D7" s="7" t="s">
        <v>23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</row>
    <row r="8" spans="2:16" x14ac:dyDescent="0.25">
      <c r="B8" s="8" t="s">
        <v>16</v>
      </c>
      <c r="C8" s="7">
        <v>1</v>
      </c>
      <c r="D8" s="9">
        <f>SUM(E8:P8)</f>
        <v>20112292</v>
      </c>
      <c r="E8" s="10">
        <v>1525665</v>
      </c>
      <c r="F8" s="10">
        <v>1525655</v>
      </c>
      <c r="G8" s="10">
        <v>1525655</v>
      </c>
      <c r="H8" s="10">
        <v>1525655</v>
      </c>
      <c r="I8" s="10">
        <v>1525655</v>
      </c>
      <c r="J8" s="10">
        <v>1525655</v>
      </c>
      <c r="K8" s="10">
        <v>1525655</v>
      </c>
      <c r="L8" s="10">
        <v>2897000</v>
      </c>
      <c r="M8" s="10">
        <v>1633924</v>
      </c>
      <c r="N8" s="10">
        <v>1633924</v>
      </c>
      <c r="O8" s="10">
        <v>1633924</v>
      </c>
      <c r="P8" s="10">
        <v>1633925</v>
      </c>
    </row>
    <row r="9" spans="2:16" x14ac:dyDescent="0.25">
      <c r="B9" s="8" t="s">
        <v>17</v>
      </c>
      <c r="C9" s="7">
        <v>2</v>
      </c>
      <c r="D9" s="9">
        <f>SUM(E9:P9)</f>
        <v>239096.57</v>
      </c>
      <c r="E9" s="10">
        <v>10081</v>
      </c>
      <c r="F9" s="10">
        <v>14901</v>
      </c>
      <c r="G9" s="10">
        <v>27151</v>
      </c>
      <c r="H9" s="10">
        <v>14751</v>
      </c>
      <c r="I9" s="10">
        <v>19501</v>
      </c>
      <c r="J9" s="10">
        <v>37542.17</v>
      </c>
      <c r="K9" s="10">
        <v>21549.66</v>
      </c>
      <c r="L9" s="10">
        <v>34174.01</v>
      </c>
      <c r="M9" s="10">
        <v>13942.73</v>
      </c>
      <c r="N9" s="10">
        <v>27001</v>
      </c>
      <c r="O9" s="10">
        <v>4501</v>
      </c>
      <c r="P9" s="10">
        <v>14001</v>
      </c>
    </row>
    <row r="10" spans="2:16" x14ac:dyDescent="0.25">
      <c r="B10" s="8" t="s">
        <v>18</v>
      </c>
      <c r="C10" s="7">
        <v>3</v>
      </c>
      <c r="D10" s="9">
        <f>SUM(E10:P10)</f>
        <v>476048.14999999997</v>
      </c>
      <c r="E10" s="10">
        <v>48707.05</v>
      </c>
      <c r="F10" s="10">
        <v>17727.05</v>
      </c>
      <c r="G10" s="10">
        <v>19999.09</v>
      </c>
      <c r="H10" s="10">
        <v>23260.06</v>
      </c>
      <c r="I10" s="10">
        <v>29854.69</v>
      </c>
      <c r="J10" s="10">
        <v>148064.75</v>
      </c>
      <c r="K10" s="10">
        <v>40124.120000000003</v>
      </c>
      <c r="L10" s="10">
        <v>40308.9</v>
      </c>
      <c r="M10" s="10">
        <v>29174.89</v>
      </c>
      <c r="N10" s="10">
        <v>34318.78</v>
      </c>
      <c r="O10" s="10">
        <v>22334.61</v>
      </c>
      <c r="P10" s="10">
        <v>22174.16</v>
      </c>
    </row>
    <row r="11" spans="2:16" x14ac:dyDescent="0.25">
      <c r="B11" s="8" t="s">
        <v>19</v>
      </c>
      <c r="C11" s="7">
        <v>4</v>
      </c>
      <c r="D11" s="9">
        <f>SUM(E11:P11)</f>
        <v>162245.32999999999</v>
      </c>
      <c r="E11" s="10">
        <v>14684.45</v>
      </c>
      <c r="F11" s="10">
        <v>11327.81</v>
      </c>
      <c r="G11" s="10">
        <v>10981.94</v>
      </c>
      <c r="H11" s="10">
        <v>16338.91</v>
      </c>
      <c r="I11" s="10">
        <v>12281.51</v>
      </c>
      <c r="J11" s="10">
        <v>14751.15</v>
      </c>
      <c r="K11" s="10">
        <v>14014.92</v>
      </c>
      <c r="L11" s="10">
        <v>16492.39</v>
      </c>
      <c r="M11" s="10">
        <v>17629.150000000001</v>
      </c>
      <c r="N11" s="10">
        <v>10017.790000000001</v>
      </c>
      <c r="O11" s="10">
        <v>10215.75</v>
      </c>
      <c r="P11" s="10">
        <v>13509.56</v>
      </c>
    </row>
    <row r="12" spans="2:16" x14ac:dyDescent="0.25">
      <c r="B12" s="8" t="s">
        <v>20</v>
      </c>
      <c r="C12" s="7">
        <v>5</v>
      </c>
      <c r="D12" s="9">
        <f t="shared" ref="D12:D15" si="0">SUM(E12:P12)</f>
        <v>13825.017</v>
      </c>
      <c r="E12" s="10">
        <v>716.67</v>
      </c>
      <c r="F12" s="10">
        <v>716.67</v>
      </c>
      <c r="G12" s="10">
        <v>716.67</v>
      </c>
      <c r="H12" s="10">
        <v>816.66700000000003</v>
      </c>
      <c r="I12" s="10">
        <v>1916.67</v>
      </c>
      <c r="J12" s="10">
        <v>958.34</v>
      </c>
      <c r="K12" s="10">
        <v>1908.34</v>
      </c>
      <c r="L12" s="10">
        <v>1408.33</v>
      </c>
      <c r="M12" s="10">
        <v>1308.33</v>
      </c>
      <c r="N12" s="10">
        <v>1108.33</v>
      </c>
      <c r="O12" s="10">
        <v>1108.33</v>
      </c>
      <c r="P12" s="10">
        <v>1141.67</v>
      </c>
    </row>
    <row r="13" spans="2:16" x14ac:dyDescent="0.25">
      <c r="B13" s="8" t="s">
        <v>21</v>
      </c>
      <c r="C13" s="7">
        <v>6</v>
      </c>
      <c r="D13" s="9">
        <f t="shared" si="0"/>
        <v>1433.24</v>
      </c>
      <c r="E13" s="10">
        <v>49.11</v>
      </c>
      <c r="F13" s="10">
        <v>57.9</v>
      </c>
      <c r="G13" s="10">
        <v>52</v>
      </c>
      <c r="H13" s="10">
        <v>0</v>
      </c>
      <c r="I13" s="10">
        <v>0</v>
      </c>
      <c r="J13" s="10">
        <v>5</v>
      </c>
      <c r="K13" s="10">
        <v>40</v>
      </c>
      <c r="L13" s="10">
        <v>0</v>
      </c>
      <c r="M13" s="10">
        <v>1032</v>
      </c>
      <c r="N13" s="10">
        <v>107</v>
      </c>
      <c r="O13" s="10">
        <v>85.73</v>
      </c>
      <c r="P13" s="10">
        <v>4.5</v>
      </c>
    </row>
    <row r="14" spans="2:16" x14ac:dyDescent="0.25">
      <c r="B14" s="8" t="s">
        <v>22</v>
      </c>
      <c r="C14" s="7">
        <v>7</v>
      </c>
      <c r="D14" s="9">
        <f t="shared" si="0"/>
        <v>21306.29</v>
      </c>
      <c r="E14" s="10">
        <v>11417</v>
      </c>
      <c r="F14" s="10">
        <v>0</v>
      </c>
      <c r="G14" s="10">
        <v>0</v>
      </c>
      <c r="H14" s="10">
        <v>0</v>
      </c>
      <c r="I14" s="10">
        <v>9889.2900000000009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2:16" x14ac:dyDescent="0.25">
      <c r="B15" s="8" t="s">
        <v>53</v>
      </c>
      <c r="C15" s="7">
        <v>8</v>
      </c>
      <c r="D15" s="9">
        <f t="shared" si="0"/>
        <v>1148233.05</v>
      </c>
      <c r="E15" s="10">
        <v>88254.77</v>
      </c>
      <c r="F15" s="10">
        <v>86040.8</v>
      </c>
      <c r="G15" s="10">
        <v>87069.28</v>
      </c>
      <c r="H15" s="10">
        <v>94711.24</v>
      </c>
      <c r="I15" s="10">
        <v>99837.59</v>
      </c>
      <c r="J15" s="10">
        <v>89310.04</v>
      </c>
      <c r="K15" s="10">
        <v>101193.32</v>
      </c>
      <c r="L15" s="10">
        <v>86282</v>
      </c>
      <c r="M15" s="10">
        <v>107851.77</v>
      </c>
      <c r="N15" s="10">
        <v>111300.09</v>
      </c>
      <c r="O15" s="10">
        <v>93718.65</v>
      </c>
      <c r="P15" s="10">
        <v>102663.5</v>
      </c>
    </row>
    <row r="16" spans="2:16" s="1" customFormat="1" x14ac:dyDescent="0.25">
      <c r="B16" s="11" t="s">
        <v>60</v>
      </c>
      <c r="C16" s="7"/>
      <c r="D16" s="12">
        <f t="shared" ref="D16:P16" si="1">SUM(D8:D15)</f>
        <v>22174479.646999996</v>
      </c>
      <c r="E16" s="12">
        <f t="shared" si="1"/>
        <v>1699575.05</v>
      </c>
      <c r="F16" s="12">
        <f t="shared" si="1"/>
        <v>1656426.23</v>
      </c>
      <c r="G16" s="12">
        <f t="shared" si="1"/>
        <v>1671624.98</v>
      </c>
      <c r="H16" s="12">
        <f t="shared" si="1"/>
        <v>1675532.8769999999</v>
      </c>
      <c r="I16" s="12">
        <f t="shared" si="1"/>
        <v>1698935.75</v>
      </c>
      <c r="J16" s="12">
        <f t="shared" si="1"/>
        <v>1816286.45</v>
      </c>
      <c r="K16" s="12">
        <f t="shared" si="1"/>
        <v>1704485.36</v>
      </c>
      <c r="L16" s="12">
        <f t="shared" si="1"/>
        <v>3075665.63</v>
      </c>
      <c r="M16" s="12">
        <f t="shared" si="1"/>
        <v>1804862.8699999999</v>
      </c>
      <c r="N16" s="12">
        <f t="shared" si="1"/>
        <v>1817776.9900000002</v>
      </c>
      <c r="O16" s="12">
        <f t="shared" si="1"/>
        <v>1765888.07</v>
      </c>
      <c r="P16" s="12">
        <f t="shared" si="1"/>
        <v>1787419.39</v>
      </c>
    </row>
    <row r="17" spans="2:16" x14ac:dyDescent="0.25">
      <c r="B17" s="8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16" s="3" customFormat="1" x14ac:dyDescent="0.25">
      <c r="B18" s="7" t="s">
        <v>2</v>
      </c>
      <c r="C18" s="7"/>
      <c r="D18" s="7" t="s">
        <v>23</v>
      </c>
      <c r="E18" s="7" t="s">
        <v>4</v>
      </c>
      <c r="F18" s="7" t="s">
        <v>5</v>
      </c>
      <c r="G18" s="7" t="s">
        <v>6</v>
      </c>
      <c r="H18" s="7" t="s">
        <v>7</v>
      </c>
      <c r="I18" s="7" t="s">
        <v>8</v>
      </c>
      <c r="J18" s="7" t="s">
        <v>9</v>
      </c>
      <c r="K18" s="7" t="s">
        <v>10</v>
      </c>
      <c r="L18" s="7" t="s">
        <v>11</v>
      </c>
      <c r="M18" s="7" t="s">
        <v>12</v>
      </c>
      <c r="N18" s="7" t="s">
        <v>13</v>
      </c>
      <c r="O18" s="7" t="s">
        <v>14</v>
      </c>
      <c r="P18" s="7" t="s">
        <v>15</v>
      </c>
    </row>
    <row r="19" spans="2:16" x14ac:dyDescent="0.25">
      <c r="B19" s="14" t="s">
        <v>24</v>
      </c>
      <c r="C19" s="7"/>
      <c r="D19" s="9">
        <f>SUM(E19:P19)</f>
        <v>10276462.609999999</v>
      </c>
      <c r="E19" s="10">
        <v>841096.53</v>
      </c>
      <c r="F19" s="10">
        <v>780101.94</v>
      </c>
      <c r="G19" s="10">
        <v>778736.58</v>
      </c>
      <c r="H19" s="10">
        <v>810285.2</v>
      </c>
      <c r="I19" s="10">
        <v>768544.23</v>
      </c>
      <c r="J19" s="10">
        <v>1026852.91</v>
      </c>
      <c r="K19" s="10">
        <v>865565.21</v>
      </c>
      <c r="L19" s="10">
        <v>776203.23</v>
      </c>
      <c r="M19" s="10">
        <v>818051.45</v>
      </c>
      <c r="N19" s="10">
        <v>825147.67</v>
      </c>
      <c r="O19" s="10">
        <v>818198.99</v>
      </c>
      <c r="P19" s="10">
        <v>1167678.67</v>
      </c>
    </row>
    <row r="20" spans="2:16" x14ac:dyDescent="0.25">
      <c r="B20" s="14" t="s">
        <v>25</v>
      </c>
      <c r="C20" s="13"/>
      <c r="D20" s="9">
        <f>SUM(E20:P20)</f>
        <v>423993.09</v>
      </c>
      <c r="E20" s="10">
        <v>44973.45</v>
      </c>
      <c r="F20" s="10">
        <v>32542.65</v>
      </c>
      <c r="G20" s="10">
        <v>32689.54</v>
      </c>
      <c r="H20" s="10">
        <v>31319.52</v>
      </c>
      <c r="I20" s="10">
        <v>32990.19</v>
      </c>
      <c r="J20" s="10">
        <v>34378.22</v>
      </c>
      <c r="K20" s="10">
        <v>30356.27</v>
      </c>
      <c r="L20" s="10">
        <v>38209.040000000001</v>
      </c>
      <c r="M20" s="10">
        <v>36075.1</v>
      </c>
      <c r="N20" s="10">
        <v>32580.2</v>
      </c>
      <c r="O20" s="10">
        <v>37333.699999999997</v>
      </c>
      <c r="P20" s="10">
        <v>40545.21</v>
      </c>
    </row>
    <row r="21" spans="2:16" x14ac:dyDescent="0.25">
      <c r="B21" s="14" t="s">
        <v>26</v>
      </c>
      <c r="C21" s="13"/>
      <c r="D21" s="9">
        <f>SUM(E21:P21)</f>
        <v>7884962.5999999987</v>
      </c>
      <c r="E21" s="10">
        <v>534687.46</v>
      </c>
      <c r="F21" s="10">
        <v>606305.46</v>
      </c>
      <c r="G21" s="10">
        <v>638050.43000000005</v>
      </c>
      <c r="H21" s="10">
        <v>618413.56999999995</v>
      </c>
      <c r="I21" s="10">
        <v>666793.43000000005</v>
      </c>
      <c r="J21" s="10">
        <v>635151.89</v>
      </c>
      <c r="K21" s="10">
        <v>609081.05000000005</v>
      </c>
      <c r="L21" s="10">
        <v>793126.72</v>
      </c>
      <c r="M21" s="10">
        <v>587863.01</v>
      </c>
      <c r="N21" s="10">
        <v>638746.39</v>
      </c>
      <c r="O21" s="10">
        <v>666292.80000000005</v>
      </c>
      <c r="P21" s="10">
        <v>890450.39</v>
      </c>
    </row>
    <row r="22" spans="2:16" x14ac:dyDescent="0.25">
      <c r="B22" s="14" t="s">
        <v>27</v>
      </c>
      <c r="C22" s="13"/>
      <c r="D22" s="9">
        <f>SUM(E22:P22)</f>
        <v>970598.87999999989</v>
      </c>
      <c r="E22" s="10">
        <v>104803.73</v>
      </c>
      <c r="F22" s="10">
        <v>73168.58</v>
      </c>
      <c r="G22" s="10">
        <v>52115.99</v>
      </c>
      <c r="H22" s="10">
        <v>79494.899999999994</v>
      </c>
      <c r="I22" s="10">
        <v>56847.17</v>
      </c>
      <c r="J22" s="10">
        <v>93622.11</v>
      </c>
      <c r="K22" s="10">
        <v>125779.68</v>
      </c>
      <c r="L22" s="10">
        <v>92668.24</v>
      </c>
      <c r="M22" s="10">
        <v>54425.87</v>
      </c>
      <c r="N22" s="10">
        <v>81040.7</v>
      </c>
      <c r="O22" s="10">
        <v>52173.09</v>
      </c>
      <c r="P22" s="10">
        <v>104458.82</v>
      </c>
    </row>
    <row r="23" spans="2:16" x14ac:dyDescent="0.25">
      <c r="B23" s="14" t="s">
        <v>28</v>
      </c>
      <c r="C23" s="13"/>
      <c r="D23" s="9">
        <f t="shared" ref="D23:D29" si="2">SUM(E23:P23)</f>
        <v>234798.3</v>
      </c>
      <c r="E23" s="10">
        <v>7443.53</v>
      </c>
      <c r="F23" s="10">
        <v>453.65</v>
      </c>
      <c r="G23" s="10">
        <v>2017.86</v>
      </c>
      <c r="H23" s="10">
        <v>6283.63</v>
      </c>
      <c r="I23" s="10">
        <v>4050.64</v>
      </c>
      <c r="J23" s="10">
        <v>2819.64</v>
      </c>
      <c r="K23" s="10">
        <v>33902.949999999997</v>
      </c>
      <c r="L23" s="10">
        <v>26296.18</v>
      </c>
      <c r="M23" s="10">
        <v>18051.939999999999</v>
      </c>
      <c r="N23" s="10">
        <v>10887.95</v>
      </c>
      <c r="O23" s="10">
        <v>46005.43</v>
      </c>
      <c r="P23" s="10">
        <v>76584.899999999994</v>
      </c>
    </row>
    <row r="24" spans="2:16" x14ac:dyDescent="0.25">
      <c r="B24" s="14" t="s">
        <v>29</v>
      </c>
      <c r="C24" s="13"/>
      <c r="D24" s="9">
        <f t="shared" si="2"/>
        <v>1917488.5999999999</v>
      </c>
      <c r="E24" s="10">
        <v>36288.120000000003</v>
      </c>
      <c r="F24" s="10">
        <v>43677.82</v>
      </c>
      <c r="G24" s="10">
        <v>37354.239999999998</v>
      </c>
      <c r="H24" s="10">
        <v>37669.699999999997</v>
      </c>
      <c r="I24" s="10">
        <v>532671.28</v>
      </c>
      <c r="J24" s="10">
        <v>108475.49</v>
      </c>
      <c r="K24" s="10">
        <v>141977.68</v>
      </c>
      <c r="L24" s="10">
        <v>272105.95</v>
      </c>
      <c r="M24" s="10">
        <v>121434.49</v>
      </c>
      <c r="N24" s="10">
        <v>126737.64</v>
      </c>
      <c r="O24" s="10">
        <v>204807.17</v>
      </c>
      <c r="P24" s="10">
        <v>254289.02</v>
      </c>
    </row>
    <row r="25" spans="2:16" x14ac:dyDescent="0.25">
      <c r="B25" s="14" t="s">
        <v>30</v>
      </c>
      <c r="C25" s="13"/>
      <c r="D25" s="9">
        <f t="shared" si="2"/>
        <v>230919.72000000003</v>
      </c>
      <c r="E25" s="10">
        <v>10347.59</v>
      </c>
      <c r="F25" s="10">
        <v>5212.5600000000004</v>
      </c>
      <c r="G25" s="10">
        <v>22097.81</v>
      </c>
      <c r="H25" s="10">
        <v>16338.94</v>
      </c>
      <c r="I25" s="10">
        <v>3132.08</v>
      </c>
      <c r="J25" s="10">
        <v>7572.8</v>
      </c>
      <c r="K25" s="10">
        <v>8392.1</v>
      </c>
      <c r="L25" s="10">
        <v>16137.13</v>
      </c>
      <c r="M25" s="10">
        <v>22725.34</v>
      </c>
      <c r="N25" s="10">
        <v>30078.65</v>
      </c>
      <c r="O25" s="10">
        <v>39686.410000000003</v>
      </c>
      <c r="P25" s="10">
        <v>49198.31</v>
      </c>
    </row>
    <row r="26" spans="2:16" x14ac:dyDescent="0.25">
      <c r="B26" s="14" t="s">
        <v>31</v>
      </c>
      <c r="C26" s="13"/>
      <c r="D26" s="9">
        <f t="shared" si="2"/>
        <v>11546.75</v>
      </c>
      <c r="E26" s="10">
        <v>240</v>
      </c>
      <c r="F26" s="10">
        <v>0</v>
      </c>
      <c r="G26" s="10">
        <v>0</v>
      </c>
      <c r="H26" s="10">
        <v>0</v>
      </c>
      <c r="I26" s="10">
        <v>629.98</v>
      </c>
      <c r="J26" s="10">
        <v>162.94</v>
      </c>
      <c r="K26" s="10">
        <v>3400</v>
      </c>
      <c r="L26" s="10">
        <v>2168.15</v>
      </c>
      <c r="M26" s="10">
        <v>1845.68</v>
      </c>
      <c r="N26" s="10">
        <v>0</v>
      </c>
      <c r="O26" s="10">
        <v>0</v>
      </c>
      <c r="P26" s="10">
        <v>3100</v>
      </c>
    </row>
    <row r="27" spans="2:16" x14ac:dyDescent="0.25">
      <c r="B27" s="14" t="s">
        <v>32</v>
      </c>
      <c r="C27" s="13"/>
      <c r="D27" s="9">
        <f t="shared" ref="D27:D28" si="3">SUM(E27:P27)</f>
        <v>437448.22</v>
      </c>
      <c r="E27" s="10">
        <v>11476.57</v>
      </c>
      <c r="F27" s="10">
        <v>7181.85</v>
      </c>
      <c r="G27" s="10">
        <v>27646.7</v>
      </c>
      <c r="H27" s="10">
        <v>15825.38</v>
      </c>
      <c r="I27" s="10">
        <v>505.01</v>
      </c>
      <c r="J27" s="10">
        <v>7593.42</v>
      </c>
      <c r="K27" s="10">
        <v>8971.2999999999993</v>
      </c>
      <c r="L27" s="10">
        <v>17226.560000000001</v>
      </c>
      <c r="M27" s="10">
        <v>40485.51</v>
      </c>
      <c r="N27" s="10">
        <v>35354.120000000003</v>
      </c>
      <c r="O27" s="10">
        <v>90225.49</v>
      </c>
      <c r="P27" s="10">
        <v>174956.31</v>
      </c>
    </row>
    <row r="28" spans="2:16" x14ac:dyDescent="0.25">
      <c r="B28" s="14" t="s">
        <v>33</v>
      </c>
      <c r="C28" s="13"/>
      <c r="D28" s="9">
        <f t="shared" si="3"/>
        <v>349475.06000000006</v>
      </c>
      <c r="E28" s="10">
        <v>25656.1</v>
      </c>
      <c r="F28" s="10">
        <v>35207.5</v>
      </c>
      <c r="G28" s="10">
        <v>22900.46</v>
      </c>
      <c r="H28" s="10">
        <v>22439.01</v>
      </c>
      <c r="I28" s="10">
        <v>24594.38</v>
      </c>
      <c r="J28" s="10">
        <v>26456.04</v>
      </c>
      <c r="K28" s="10">
        <v>22882.71</v>
      </c>
      <c r="L28" s="10">
        <v>30913.73</v>
      </c>
      <c r="M28" s="10">
        <v>51758.83</v>
      </c>
      <c r="N28" s="10">
        <v>23958.27</v>
      </c>
      <c r="O28" s="10">
        <v>23886.07</v>
      </c>
      <c r="P28" s="10">
        <v>38821.96</v>
      </c>
    </row>
    <row r="29" spans="2:16" x14ac:dyDescent="0.25">
      <c r="B29" s="14" t="s">
        <v>34</v>
      </c>
      <c r="C29" s="13"/>
      <c r="D29" s="9">
        <f t="shared" si="2"/>
        <v>131372.38</v>
      </c>
      <c r="E29" s="10">
        <v>11413.88</v>
      </c>
      <c r="F29" s="10">
        <v>7807.3</v>
      </c>
      <c r="G29" s="10">
        <v>23008</v>
      </c>
      <c r="H29" s="10">
        <v>0</v>
      </c>
      <c r="I29" s="10">
        <v>580</v>
      </c>
      <c r="J29" s="10">
        <v>13074.63</v>
      </c>
      <c r="K29" s="10">
        <v>11884.16</v>
      </c>
      <c r="L29" s="10">
        <v>15129.95</v>
      </c>
      <c r="M29" s="10">
        <v>3398</v>
      </c>
      <c r="N29" s="10">
        <v>15669.39</v>
      </c>
      <c r="O29" s="10">
        <v>9258.6299999999992</v>
      </c>
      <c r="P29" s="10">
        <v>20148.439999999999</v>
      </c>
    </row>
    <row r="30" spans="2:16" s="1" customFormat="1" x14ac:dyDescent="0.25">
      <c r="B30" s="11" t="s">
        <v>61</v>
      </c>
      <c r="C30" s="7"/>
      <c r="D30" s="12">
        <f t="shared" ref="D30:P30" si="4">SUM(D19:D29)</f>
        <v>22869066.209999993</v>
      </c>
      <c r="E30" s="12">
        <f t="shared" si="4"/>
        <v>1628426.9600000002</v>
      </c>
      <c r="F30" s="12">
        <f t="shared" si="4"/>
        <v>1591659.31</v>
      </c>
      <c r="G30" s="12">
        <f t="shared" si="4"/>
        <v>1636617.61</v>
      </c>
      <c r="H30" s="12">
        <f t="shared" si="4"/>
        <v>1638069.8499999996</v>
      </c>
      <c r="I30" s="12">
        <f t="shared" si="4"/>
        <v>2091338.39</v>
      </c>
      <c r="J30" s="12">
        <f t="shared" si="4"/>
        <v>1956160.0899999999</v>
      </c>
      <c r="K30" s="12">
        <f t="shared" si="4"/>
        <v>1862193.1099999999</v>
      </c>
      <c r="L30" s="12">
        <f t="shared" si="4"/>
        <v>2080184.8799999997</v>
      </c>
      <c r="M30" s="12">
        <f t="shared" si="4"/>
        <v>1756115.2200000002</v>
      </c>
      <c r="N30" s="12">
        <f t="shared" si="4"/>
        <v>1820200.9799999997</v>
      </c>
      <c r="O30" s="12">
        <f t="shared" si="4"/>
        <v>1987867.7799999998</v>
      </c>
      <c r="P30" s="12">
        <f t="shared" si="4"/>
        <v>2820232.03</v>
      </c>
    </row>
    <row r="31" spans="2:16" ht="15.75" thickBot="1" x14ac:dyDescent="0.3"/>
    <row r="32" spans="2:16" s="1" customFormat="1" x14ac:dyDescent="0.25">
      <c r="B32" s="15" t="s">
        <v>35</v>
      </c>
      <c r="C32" s="11"/>
      <c r="D32" s="7" t="s">
        <v>41</v>
      </c>
      <c r="E32" s="7" t="s">
        <v>52</v>
      </c>
      <c r="G32" s="46" t="s">
        <v>54</v>
      </c>
      <c r="H32" s="47"/>
      <c r="I32" s="47"/>
      <c r="J32" s="48"/>
      <c r="L32" s="44"/>
      <c r="M32" s="44"/>
      <c r="N32" s="44"/>
      <c r="O32" s="44"/>
    </row>
    <row r="33" spans="2:16" s="1" customFormat="1" ht="17.25" x14ac:dyDescent="0.4">
      <c r="B33" s="16" t="s">
        <v>42</v>
      </c>
      <c r="C33" s="11"/>
      <c r="D33" s="7"/>
      <c r="E33" s="7"/>
      <c r="G33" s="42" t="s">
        <v>64</v>
      </c>
      <c r="H33" s="43"/>
      <c r="I33" s="43"/>
      <c r="J33" s="22">
        <f>D59</f>
        <v>9228566.0299999993</v>
      </c>
      <c r="K33" s="19">
        <f>D8</f>
        <v>20112292</v>
      </c>
      <c r="L33" s="20">
        <v>1</v>
      </c>
      <c r="M33" s="45" t="s">
        <v>69</v>
      </c>
      <c r="N33" s="45"/>
      <c r="O33" s="45"/>
      <c r="P33" s="45"/>
    </row>
    <row r="34" spans="2:16" ht="17.25" x14ac:dyDescent="0.4">
      <c r="B34" s="14" t="s">
        <v>36</v>
      </c>
      <c r="C34" s="8"/>
      <c r="D34" s="9">
        <v>0</v>
      </c>
      <c r="E34" s="9">
        <v>0</v>
      </c>
      <c r="G34" s="42" t="s">
        <v>65</v>
      </c>
      <c r="H34" s="43"/>
      <c r="I34" s="43"/>
      <c r="J34" s="23">
        <f>SUM(J35:J37)</f>
        <v>22174479.647</v>
      </c>
      <c r="K34" s="19">
        <f>SUM(D9:D14)</f>
        <v>913954.59699999995</v>
      </c>
      <c r="L34" s="20">
        <v>2</v>
      </c>
      <c r="M34" s="45" t="s">
        <v>71</v>
      </c>
      <c r="N34" s="45"/>
      <c r="O34" s="45"/>
      <c r="P34" s="45"/>
    </row>
    <row r="35" spans="2:16" ht="17.25" x14ac:dyDescent="0.4">
      <c r="B35" s="14" t="s">
        <v>37</v>
      </c>
      <c r="C35" s="8"/>
      <c r="D35" s="9">
        <v>301.51</v>
      </c>
      <c r="E35" s="9">
        <v>823.84</v>
      </c>
      <c r="G35" s="40" t="s">
        <v>62</v>
      </c>
      <c r="H35" s="41"/>
      <c r="I35" s="41"/>
      <c r="J35" s="24">
        <f>D8</f>
        <v>20112292</v>
      </c>
      <c r="K35" s="19">
        <f>D15</f>
        <v>1148233.05</v>
      </c>
      <c r="L35" s="20">
        <v>3</v>
      </c>
      <c r="M35" s="45" t="s">
        <v>70</v>
      </c>
      <c r="N35" s="45"/>
      <c r="O35" s="45"/>
      <c r="P35" s="45"/>
    </row>
    <row r="36" spans="2:16" ht="17.25" x14ac:dyDescent="0.4">
      <c r="B36" s="14" t="s">
        <v>38</v>
      </c>
      <c r="C36" s="8"/>
      <c r="D36" s="9">
        <v>856</v>
      </c>
      <c r="E36" s="9">
        <v>953</v>
      </c>
      <c r="G36" s="40" t="s">
        <v>74</v>
      </c>
      <c r="H36" s="41"/>
      <c r="I36" s="41"/>
      <c r="J36" s="24">
        <f>SUM(D9:D14)</f>
        <v>913954.59699999995</v>
      </c>
      <c r="L36" s="49" t="s">
        <v>68</v>
      </c>
      <c r="M36" s="49"/>
      <c r="N36" s="49"/>
      <c r="O36" s="49"/>
      <c r="P36" s="21"/>
    </row>
    <row r="37" spans="2:16" x14ac:dyDescent="0.25">
      <c r="B37" s="14" t="s">
        <v>39</v>
      </c>
      <c r="C37" s="8"/>
      <c r="D37" s="9">
        <v>2554</v>
      </c>
      <c r="E37" s="9">
        <v>2952</v>
      </c>
      <c r="G37" s="40" t="s">
        <v>63</v>
      </c>
      <c r="H37" s="41"/>
      <c r="I37" s="41"/>
      <c r="J37" s="24">
        <f>D15</f>
        <v>1148233.05</v>
      </c>
    </row>
    <row r="38" spans="2:16" x14ac:dyDescent="0.25">
      <c r="B38" s="14" t="s">
        <v>40</v>
      </c>
      <c r="C38" s="8"/>
      <c r="D38" s="17">
        <v>634.5</v>
      </c>
      <c r="E38" s="17">
        <v>819</v>
      </c>
      <c r="G38" s="42" t="s">
        <v>75</v>
      </c>
      <c r="H38" s="43"/>
      <c r="I38" s="43"/>
      <c r="J38" s="22">
        <f>J33+J34</f>
        <v>31403045.677000001</v>
      </c>
      <c r="L38" s="6"/>
      <c r="M38" s="6"/>
      <c r="N38" s="6"/>
      <c r="O38" s="6"/>
    </row>
    <row r="39" spans="2:16" s="1" customFormat="1" x14ac:dyDescent="0.25">
      <c r="B39" s="15" t="s">
        <v>55</v>
      </c>
      <c r="C39" s="11"/>
      <c r="D39" s="18">
        <f>SUM(D34:D38)</f>
        <v>4346.01</v>
      </c>
      <c r="E39" s="18">
        <f>SUM(E34:E38)</f>
        <v>5547.84</v>
      </c>
      <c r="F39" s="5"/>
      <c r="G39" s="42" t="s">
        <v>66</v>
      </c>
      <c r="H39" s="43"/>
      <c r="I39" s="43"/>
      <c r="J39" s="23"/>
      <c r="K39" s="5"/>
      <c r="L39" s="6"/>
      <c r="M39" s="6"/>
      <c r="N39" s="6"/>
      <c r="O39" s="6"/>
      <c r="P39" s="5"/>
    </row>
    <row r="40" spans="2:16" s="1" customFormat="1" x14ac:dyDescent="0.25">
      <c r="B40" s="16" t="s">
        <v>43</v>
      </c>
      <c r="C40" s="11"/>
      <c r="D40" s="7"/>
      <c r="E40" s="7"/>
      <c r="G40" s="40" t="s">
        <v>67</v>
      </c>
      <c r="H40" s="41"/>
      <c r="I40" s="41"/>
      <c r="J40" s="25">
        <f>D30</f>
        <v>22869066.209999993</v>
      </c>
      <c r="L40" s="6"/>
      <c r="M40" s="6"/>
      <c r="N40" s="6"/>
      <c r="O40" s="6"/>
    </row>
    <row r="41" spans="2:16" x14ac:dyDescent="0.25">
      <c r="B41" s="14" t="s">
        <v>44</v>
      </c>
      <c r="C41" s="8"/>
      <c r="D41" s="9">
        <v>0</v>
      </c>
      <c r="E41" s="9">
        <v>0</v>
      </c>
      <c r="G41" s="42" t="s">
        <v>76</v>
      </c>
      <c r="H41" s="43"/>
      <c r="I41" s="43"/>
      <c r="J41" s="22">
        <f>J40</f>
        <v>22869066.209999993</v>
      </c>
    </row>
    <row r="42" spans="2:16" x14ac:dyDescent="0.25">
      <c r="B42" s="14" t="s">
        <v>45</v>
      </c>
      <c r="C42" s="8"/>
      <c r="D42" s="9">
        <v>2819.04</v>
      </c>
      <c r="E42" s="9">
        <v>23615.84</v>
      </c>
      <c r="G42" s="42" t="s">
        <v>91</v>
      </c>
      <c r="H42" s="43"/>
      <c r="I42" s="43"/>
      <c r="J42" s="22">
        <f>J38-J41</f>
        <v>8533979.4670000076</v>
      </c>
    </row>
    <row r="43" spans="2:16" ht="15.75" thickBot="1" x14ac:dyDescent="0.3">
      <c r="B43" s="14" t="s">
        <v>46</v>
      </c>
      <c r="C43" s="8"/>
      <c r="D43" s="9">
        <v>0</v>
      </c>
      <c r="E43" s="9">
        <v>0</v>
      </c>
      <c r="G43" s="26"/>
      <c r="H43" s="27"/>
      <c r="I43" s="27"/>
      <c r="J43" s="28"/>
    </row>
    <row r="44" spans="2:16" ht="15.75" thickBot="1" x14ac:dyDescent="0.3">
      <c r="B44" s="14" t="s">
        <v>47</v>
      </c>
      <c r="C44" s="8"/>
      <c r="D44" s="9">
        <v>0</v>
      </c>
      <c r="E44" s="9">
        <v>0</v>
      </c>
    </row>
    <row r="45" spans="2:16" x14ac:dyDescent="0.25">
      <c r="B45" s="14" t="s">
        <v>48</v>
      </c>
      <c r="C45" s="8"/>
      <c r="D45" s="9">
        <v>1990.34</v>
      </c>
      <c r="E45" s="9">
        <v>2230.8200000000002</v>
      </c>
      <c r="G45" s="46" t="s">
        <v>84</v>
      </c>
      <c r="H45" s="47"/>
      <c r="I45" s="47"/>
      <c r="J45" s="48"/>
    </row>
    <row r="46" spans="2:16" ht="17.25" x14ac:dyDescent="0.4">
      <c r="B46" s="14" t="s">
        <v>90</v>
      </c>
      <c r="C46" s="8"/>
      <c r="D46" s="17">
        <v>45357.1</v>
      </c>
      <c r="E46" s="17">
        <v>0</v>
      </c>
      <c r="G46" s="40" t="s">
        <v>85</v>
      </c>
      <c r="H46" s="41"/>
      <c r="I46" s="41"/>
      <c r="J46" s="32">
        <f>1916282.71+1542851.38</f>
        <v>3459134.09</v>
      </c>
    </row>
    <row r="47" spans="2:16" s="1" customFormat="1" ht="17.25" x14ac:dyDescent="0.4">
      <c r="B47" s="15" t="s">
        <v>56</v>
      </c>
      <c r="C47" s="11"/>
      <c r="D47" s="18">
        <f>SUM(D41:D46)</f>
        <v>50166.479999999996</v>
      </c>
      <c r="E47" s="18">
        <f>SUM(E41:E46)</f>
        <v>25846.66</v>
      </c>
      <c r="F47" s="5"/>
      <c r="G47" s="40" t="s">
        <v>72</v>
      </c>
      <c r="H47" s="41"/>
      <c r="I47" s="41"/>
      <c r="J47" s="33">
        <f>15256.65+15256.55+15256.55+15256.55+15256.55+15256.55+15256.55+15256.55+13713.45+16339.24+16339.24+16339.24+16339.25</f>
        <v>201122.91999999998</v>
      </c>
      <c r="K47" s="5"/>
      <c r="L47" s="5"/>
      <c r="M47" s="5"/>
      <c r="N47" s="5"/>
      <c r="O47" s="5"/>
      <c r="P47" s="5"/>
    </row>
    <row r="48" spans="2:16" s="1" customFormat="1" ht="17.25" x14ac:dyDescent="0.4">
      <c r="B48" s="16" t="s">
        <v>49</v>
      </c>
      <c r="C48" s="11"/>
      <c r="D48" s="7"/>
      <c r="E48" s="7"/>
      <c r="G48" s="40" t="s">
        <v>73</v>
      </c>
      <c r="H48" s="41"/>
      <c r="I48" s="41"/>
      <c r="J48" s="33">
        <v>0</v>
      </c>
    </row>
    <row r="49" spans="2:16" ht="17.25" x14ac:dyDescent="0.4">
      <c r="B49" s="14" t="str">
        <f>B41</f>
        <v>Banco do Brasil S.A. - Agência 351-4 Conta 40.807-7</v>
      </c>
      <c r="C49" s="8"/>
      <c r="D49" s="9">
        <v>4811227.53</v>
      </c>
      <c r="E49" s="9">
        <v>5445268.0599999996</v>
      </c>
      <c r="G49" s="40" t="s">
        <v>78</v>
      </c>
      <c r="H49" s="41"/>
      <c r="I49" s="41"/>
      <c r="J49" s="32">
        <f>17215.26+21382.05+16132.55+19813.13+16301.15+19828.5+17218.57+20713.97+19058.22+22710.54+18408.31+21827.39+22313.05+26458.64+19475.45+23036.02+24771.78+21279.97+20813.24+24129.62+18326.77+10919.85+21486.94+1660.76</f>
        <v>465281.73000000004</v>
      </c>
    </row>
    <row r="50" spans="2:16" ht="17.25" x14ac:dyDescent="0.4">
      <c r="B50" s="14" t="str">
        <f t="shared" ref="B50:B54" si="5">B42</f>
        <v xml:space="preserve">Banco do Brasil S.A. - Agência 351-4 Conta 40.808-5 </v>
      </c>
      <c r="C50" s="8"/>
      <c r="D50" s="9">
        <v>460832.96</v>
      </c>
      <c r="E50" s="9">
        <v>864706.05</v>
      </c>
      <c r="G50" s="40" t="s">
        <v>79</v>
      </c>
      <c r="H50" s="41"/>
      <c r="I50" s="41"/>
      <c r="J50" s="32">
        <f>-14342.28-17523.14-8.87-64.27-166.18-17847.51-19811.3</f>
        <v>-69763.55</v>
      </c>
    </row>
    <row r="51" spans="2:16" ht="17.25" x14ac:dyDescent="0.4">
      <c r="B51" s="14" t="str">
        <f t="shared" si="5"/>
        <v>Banco do Brasil S.A. - Agência 351-4 Conta 40.809-3</v>
      </c>
      <c r="C51" s="8"/>
      <c r="D51" s="9">
        <v>1542851.38</v>
      </c>
      <c r="E51" s="9">
        <v>1812041.01</v>
      </c>
      <c r="G51" s="40" t="s">
        <v>80</v>
      </c>
      <c r="H51" s="41"/>
      <c r="I51" s="41"/>
      <c r="J51" s="32">
        <f>-8076.61-23000-2260.96-12367.49-1939.02-5000-(3389.58+12100+17600+22000+19800)-1977000</f>
        <v>-2104533.66</v>
      </c>
    </row>
    <row r="52" spans="2:16" ht="17.25" x14ac:dyDescent="0.4">
      <c r="B52" s="14" t="str">
        <f t="shared" si="5"/>
        <v>Banco do Brasil S.A. - Agência 351-4 Conta 40.810-7</v>
      </c>
      <c r="C52" s="8"/>
      <c r="D52" s="9">
        <v>1916282.71</v>
      </c>
      <c r="E52" s="9">
        <v>139200.51999999999</v>
      </c>
      <c r="G52" s="42" t="s">
        <v>77</v>
      </c>
      <c r="H52" s="43"/>
      <c r="I52" s="43"/>
      <c r="J52" s="34">
        <f>SUM(J46:J51)</f>
        <v>1951241.5299999998</v>
      </c>
      <c r="L52" s="49" t="s">
        <v>87</v>
      </c>
      <c r="M52" s="49"/>
      <c r="N52" s="49"/>
      <c r="O52" s="49"/>
    </row>
    <row r="53" spans="2:16" ht="15.75" thickBot="1" x14ac:dyDescent="0.3">
      <c r="B53" s="14" t="str">
        <f t="shared" si="5"/>
        <v>Banco do Brasil S.A. - Agência 351-4 Conta 40.811-5</v>
      </c>
      <c r="C53" s="8"/>
      <c r="D53" s="9">
        <v>172459.04</v>
      </c>
      <c r="E53" s="9">
        <v>214497.98</v>
      </c>
      <c r="G53" s="26"/>
      <c r="H53" s="27"/>
      <c r="I53" s="27"/>
      <c r="J53" s="35"/>
    </row>
    <row r="54" spans="2:16" ht="15.75" thickBot="1" x14ac:dyDescent="0.3">
      <c r="B54" s="14" t="str">
        <f t="shared" si="5"/>
        <v>CEF - Agência 2105 Conta 1292.000577540271-1</v>
      </c>
      <c r="C54" s="8"/>
      <c r="D54" s="17">
        <v>270399.92</v>
      </c>
      <c r="E54" s="17">
        <v>4740.3500000000004</v>
      </c>
    </row>
    <row r="55" spans="2:16" s="1" customFormat="1" x14ac:dyDescent="0.25">
      <c r="B55" s="15" t="s">
        <v>57</v>
      </c>
      <c r="C55" s="11"/>
      <c r="D55" s="18">
        <f>SUM(D49:D54)</f>
        <v>9174053.5399999991</v>
      </c>
      <c r="E55" s="18">
        <f>SUM(E49:E54)</f>
        <v>8480453.9699999988</v>
      </c>
      <c r="F55" s="5"/>
      <c r="G55" s="46" t="s">
        <v>86</v>
      </c>
      <c r="H55" s="47"/>
      <c r="I55" s="47"/>
      <c r="J55" s="48"/>
      <c r="K55" s="5"/>
      <c r="L55" s="5"/>
      <c r="M55" s="5"/>
      <c r="N55" s="5"/>
      <c r="O55" s="5"/>
      <c r="P55" s="5"/>
    </row>
    <row r="56" spans="2:16" s="1" customFormat="1" ht="17.25" x14ac:dyDescent="0.4">
      <c r="B56" s="16" t="s">
        <v>51</v>
      </c>
      <c r="C56" s="11"/>
      <c r="D56" s="7"/>
      <c r="E56" s="7"/>
      <c r="G56" s="40" t="s">
        <v>81</v>
      </c>
      <c r="H56" s="41"/>
      <c r="I56" s="41"/>
      <c r="J56" s="33">
        <f>E39+E47-SUM(E43:E44)+E55-SUM(E51:E52)+E58</f>
        <v>6582737.9399999985</v>
      </c>
      <c r="K56" s="19">
        <f>J56</f>
        <v>6582737.9399999985</v>
      </c>
      <c r="L56" s="30">
        <v>1</v>
      </c>
    </row>
    <row r="57" spans="2:16" ht="17.25" x14ac:dyDescent="0.4">
      <c r="B57" s="14" t="s">
        <v>50</v>
      </c>
      <c r="C57" s="8"/>
      <c r="D57" s="9">
        <v>0</v>
      </c>
      <c r="E57" s="9">
        <v>22131</v>
      </c>
      <c r="G57" s="40" t="s">
        <v>82</v>
      </c>
      <c r="H57" s="41"/>
      <c r="I57" s="41"/>
      <c r="J57" s="32">
        <f>SUM(E51:E52)</f>
        <v>1951241.53</v>
      </c>
      <c r="K57" s="19">
        <f>J57</f>
        <v>1951241.53</v>
      </c>
      <c r="L57" s="30">
        <v>2</v>
      </c>
    </row>
    <row r="58" spans="2:16" s="1" customFormat="1" ht="17.25" x14ac:dyDescent="0.4">
      <c r="B58" s="15" t="s">
        <v>58</v>
      </c>
      <c r="C58" s="11"/>
      <c r="D58" s="18">
        <f>SUM(D57:D57)</f>
        <v>0</v>
      </c>
      <c r="E58" s="18">
        <f>SUM(E57:E57)</f>
        <v>22131</v>
      </c>
      <c r="F58" s="5"/>
      <c r="G58" s="42" t="s">
        <v>83</v>
      </c>
      <c r="H58" s="43"/>
      <c r="I58" s="43"/>
      <c r="J58" s="36">
        <f>SUM(J56:J57)</f>
        <v>8533979.4699999988</v>
      </c>
      <c r="K58" s="5"/>
      <c r="L58" s="5"/>
      <c r="M58" s="5"/>
      <c r="N58" s="5"/>
      <c r="O58" s="5"/>
      <c r="P58" s="5"/>
    </row>
    <row r="59" spans="2:16" s="1" customFormat="1" ht="15.75" thickBot="1" x14ac:dyDescent="0.3">
      <c r="B59" s="11" t="s">
        <v>59</v>
      </c>
      <c r="C59" s="11"/>
      <c r="D59" s="12">
        <f>D39+D47+D55+D58</f>
        <v>9228566.0299999993</v>
      </c>
      <c r="E59" s="29">
        <f>E39+E47+E55+E58</f>
        <v>8533979.4699999988</v>
      </c>
      <c r="G59" s="37"/>
      <c r="H59" s="38"/>
      <c r="I59" s="38"/>
      <c r="J59" s="39"/>
    </row>
    <row r="60" spans="2:16" x14ac:dyDescent="0.25">
      <c r="G60" s="8"/>
      <c r="H60" s="8"/>
      <c r="I60" s="8"/>
      <c r="J60" s="9"/>
    </row>
    <row r="61" spans="2:16" x14ac:dyDescent="0.25">
      <c r="D61" s="4"/>
      <c r="E61" s="4"/>
      <c r="G61" s="8"/>
      <c r="H61" s="8"/>
      <c r="I61" s="8"/>
      <c r="J61" s="9"/>
    </row>
    <row r="62" spans="2:16" x14ac:dyDescent="0.25">
      <c r="G62" s="8"/>
      <c r="H62" s="8"/>
      <c r="I62" s="8"/>
      <c r="J62" s="9"/>
    </row>
    <row r="63" spans="2:16" x14ac:dyDescent="0.25">
      <c r="E63" s="4"/>
      <c r="G63" s="8"/>
      <c r="H63" s="8"/>
      <c r="I63" s="8"/>
      <c r="J63" s="9"/>
    </row>
    <row r="64" spans="2:16" x14ac:dyDescent="0.25">
      <c r="G64" s="8"/>
      <c r="H64" s="8"/>
      <c r="I64" s="8"/>
      <c r="J64" s="10"/>
    </row>
    <row r="65" spans="7:10" x14ac:dyDescent="0.25">
      <c r="G65" s="8"/>
      <c r="H65" s="8"/>
      <c r="I65" s="8"/>
      <c r="J65" s="10"/>
    </row>
    <row r="66" spans="7:10" x14ac:dyDescent="0.25">
      <c r="G66" s="8"/>
      <c r="H66" s="8"/>
      <c r="I66" s="8"/>
      <c r="J66" s="10"/>
    </row>
    <row r="67" spans="7:10" x14ac:dyDescent="0.25">
      <c r="G67" s="8"/>
      <c r="H67" s="8"/>
      <c r="I67" s="8"/>
      <c r="J67" s="10"/>
    </row>
    <row r="68" spans="7:10" x14ac:dyDescent="0.25">
      <c r="J68" s="31"/>
    </row>
    <row r="69" spans="7:10" x14ac:dyDescent="0.25">
      <c r="J69" s="31"/>
    </row>
  </sheetData>
  <mergeCells count="32">
    <mergeCell ref="G52:I52"/>
    <mergeCell ref="G57:I57"/>
    <mergeCell ref="L52:O52"/>
    <mergeCell ref="G58:I58"/>
    <mergeCell ref="G39:I39"/>
    <mergeCell ref="G40:I40"/>
    <mergeCell ref="G51:I51"/>
    <mergeCell ref="G49:I49"/>
    <mergeCell ref="G45:J45"/>
    <mergeCell ref="G46:I46"/>
    <mergeCell ref="G50:I50"/>
    <mergeCell ref="G48:I48"/>
    <mergeCell ref="G56:I56"/>
    <mergeCell ref="G55:J55"/>
    <mergeCell ref="B4:F4"/>
    <mergeCell ref="B5:F5"/>
    <mergeCell ref="E6:P6"/>
    <mergeCell ref="G33:I33"/>
    <mergeCell ref="G34:I34"/>
    <mergeCell ref="G35:I35"/>
    <mergeCell ref="G47:I47"/>
    <mergeCell ref="G41:I41"/>
    <mergeCell ref="G42:I42"/>
    <mergeCell ref="L32:O32"/>
    <mergeCell ref="M33:P33"/>
    <mergeCell ref="M34:P34"/>
    <mergeCell ref="M35:P35"/>
    <mergeCell ref="G32:J32"/>
    <mergeCell ref="G36:I36"/>
    <mergeCell ref="G37:I37"/>
    <mergeCell ref="G38:I38"/>
    <mergeCell ref="L36:O36"/>
  </mergeCells>
  <pageMargins left="0.15748031496062992" right="0.17" top="0.23622047244094491" bottom="0.23622047244094491" header="0.19685039370078741" footer="0.19685039370078741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Conciliação Financeira</vt:lpstr>
      <vt:lpstr>'Conciliação Financeira'!Area_de_impressao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 Adami Janoni</dc:creator>
  <cp:lastModifiedBy>Reginaldo Adami Janoni</cp:lastModifiedBy>
  <cp:lastPrinted>2026-02-25T17:18:55Z</cp:lastPrinted>
  <dcterms:created xsi:type="dcterms:W3CDTF">2020-02-25T12:38:30Z</dcterms:created>
  <dcterms:modified xsi:type="dcterms:W3CDTF">2026-02-25T17:19:49Z</dcterms:modified>
</cp:coreProperties>
</file>