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ROUNDELAY\Financeiro\CONTROLES FINANCEIROS E CONTÁBEIS 2025\23. PORTAL TRANSPARÊNCIA (SITE)\4 FLUXO CAIXA\"/>
    </mc:Choice>
  </mc:AlternateContent>
  <bookViews>
    <workbookView xWindow="0" yWindow="0" windowWidth="20490" windowHeight="7755"/>
  </bookViews>
  <sheets>
    <sheet name="1-12 ACUMULADO" sheetId="5" r:id="rId1"/>
    <sheet name="1-12 GRÁFICOS" sheetId="7" r:id="rId2"/>
    <sheet name="1 JAN" sheetId="1" r:id="rId3"/>
    <sheet name="2 FEV" sheetId="2" r:id="rId4"/>
    <sheet name="3 MAR" sheetId="8" r:id="rId5"/>
    <sheet name="4 ABR" sheetId="9" r:id="rId6"/>
    <sheet name="5 MAI" sheetId="10" r:id="rId7"/>
    <sheet name="6 JUN" sheetId="11" r:id="rId8"/>
    <sheet name="7 JUL" sheetId="12" r:id="rId9"/>
    <sheet name="8 AGO" sheetId="13" r:id="rId10"/>
    <sheet name="9 SET" sheetId="14" r:id="rId11"/>
    <sheet name="10 OUT" sheetId="15" r:id="rId12"/>
    <sheet name="11 NOV" sheetId="16" r:id="rId13"/>
    <sheet name="12 DEZ" sheetId="17" r:id="rId14"/>
  </sheets>
  <externalReferences>
    <externalReference r:id="rId15"/>
  </externalReferences>
  <definedNames>
    <definedName name="___bdf337" localSheetId="11">'[1]BD DESPESAS'!#REF!</definedName>
    <definedName name="___bdf337" localSheetId="12">'[1]BD DESPESAS'!#REF!</definedName>
    <definedName name="___bdf337" localSheetId="0">'[1]BD DESPESAS'!#REF!</definedName>
    <definedName name="___bdf337" localSheetId="13">'[1]BD DESPESAS'!#REF!</definedName>
    <definedName name="___bdf337" localSheetId="3">'[1]BD DESPESAS'!#REF!</definedName>
    <definedName name="___bdf337" localSheetId="4">'[1]BD DESPESAS'!#REF!</definedName>
    <definedName name="___bdf337" localSheetId="5">'[1]BD DESPESAS'!#REF!</definedName>
    <definedName name="___bdf337" localSheetId="6">'[1]BD DESPESAS'!#REF!</definedName>
    <definedName name="___bdf337" localSheetId="7">'[1]BD DESPESAS'!#REF!</definedName>
    <definedName name="___bdf337" localSheetId="8">'[1]BD DESPESAS'!#REF!</definedName>
    <definedName name="___bdf337" localSheetId="9">'[1]BD DESPESAS'!#REF!</definedName>
    <definedName name="___bdf337" localSheetId="10">'[1]BD DESPESAS'!#REF!</definedName>
    <definedName name="___bdf337">'[1]BD DESPESAS'!#REF!</definedName>
    <definedName name="__bdf337" localSheetId="11">#REF!</definedName>
    <definedName name="__bdf337" localSheetId="12">#REF!</definedName>
    <definedName name="__bdf337" localSheetId="0">#REF!</definedName>
    <definedName name="__bdf337" localSheetId="13">#REF!</definedName>
    <definedName name="__bdf337" localSheetId="3">#REF!</definedName>
    <definedName name="__bdf337" localSheetId="4">#REF!</definedName>
    <definedName name="__bdf337" localSheetId="5">#REF!</definedName>
    <definedName name="__bdf337" localSheetId="6">#REF!</definedName>
    <definedName name="__bdf337" localSheetId="7">#REF!</definedName>
    <definedName name="__bdf337" localSheetId="8">#REF!</definedName>
    <definedName name="__bdf337" localSheetId="9">#REF!</definedName>
    <definedName name="__bdf337" localSheetId="10">#REF!</definedName>
    <definedName name="__bdf337">#REF!</definedName>
    <definedName name="_bdf337" localSheetId="11">#REF!</definedName>
    <definedName name="_bdf337" localSheetId="12">#REF!</definedName>
    <definedName name="_bdf337" localSheetId="0">#REF!</definedName>
    <definedName name="_bdf337" localSheetId="13">#REF!</definedName>
    <definedName name="_bdf337" localSheetId="3">#REF!</definedName>
    <definedName name="_bdf337" localSheetId="4">#REF!</definedName>
    <definedName name="_bdf337" localSheetId="5">#REF!</definedName>
    <definedName name="_bdf337" localSheetId="6">#REF!</definedName>
    <definedName name="_bdf337" localSheetId="7">#REF!</definedName>
    <definedName name="_bdf337" localSheetId="8">#REF!</definedName>
    <definedName name="_bdf337" localSheetId="9">#REF!</definedName>
    <definedName name="_bdf337" localSheetId="10">#REF!</definedName>
    <definedName name="_bdf337">#REF!</definedName>
    <definedName name="_xlnm.Print_Area" localSheetId="2">'1 JAN'!$A$1:$F$73</definedName>
    <definedName name="_xlnm.Print_Area" localSheetId="11">'10 OUT'!$A$1:$F$73</definedName>
    <definedName name="_xlnm.Print_Area" localSheetId="12">'11 NOV'!$A$1:$F$73</definedName>
    <definedName name="_xlnm.Print_Area" localSheetId="0">'1-12 ACUMULADO'!$A$1:$F$73</definedName>
    <definedName name="_xlnm.Print_Area" localSheetId="1">'1-12 GRÁFICOS'!$A$1:$N$46</definedName>
    <definedName name="_xlnm.Print_Area" localSheetId="13">'12 DEZ'!$A$1:$F$73</definedName>
    <definedName name="_xlnm.Print_Area" localSheetId="3">'2 FEV'!$A$1:$F$73</definedName>
    <definedName name="_xlnm.Print_Area" localSheetId="4">'3 MAR'!$A$1:$F$73</definedName>
    <definedName name="_xlnm.Print_Area" localSheetId="5">'4 ABR'!$A$1:$F$73</definedName>
    <definedName name="_xlnm.Print_Area" localSheetId="6">'5 MAI'!$A$1:$F$73</definedName>
    <definedName name="_xlnm.Print_Area" localSheetId="7">'6 JUN'!$A$1:$F$73</definedName>
    <definedName name="_xlnm.Print_Area" localSheetId="8">'7 JUL'!$A$1:$F$73</definedName>
    <definedName name="_xlnm.Print_Area" localSheetId="9">'8 AGO'!$A$1:$F$73</definedName>
    <definedName name="_xlnm.Print_Area" localSheetId="10">'9 SET'!$A$1:$F$73</definedName>
    <definedName name="bbbbb" localSheetId="11">#REF!</definedName>
    <definedName name="bbbbb" localSheetId="12">#REF!</definedName>
    <definedName name="bbbbb" localSheetId="0">#REF!</definedName>
    <definedName name="bbbbb" localSheetId="13">#REF!</definedName>
    <definedName name="bbbbb" localSheetId="3">#REF!</definedName>
    <definedName name="bbbbb" localSheetId="4">#REF!</definedName>
    <definedName name="bbbbb" localSheetId="5">#REF!</definedName>
    <definedName name="bbbbb" localSheetId="6">#REF!</definedName>
    <definedName name="bbbbb" localSheetId="7">#REF!</definedName>
    <definedName name="bbbbb" localSheetId="8">#REF!</definedName>
    <definedName name="bbbbb" localSheetId="9">#REF!</definedName>
    <definedName name="bbbbb" localSheetId="10">#REF!</definedName>
    <definedName name="bbbbb">#REF!</definedName>
    <definedName name="DDDDD" localSheetId="11">'[1]BD DESPESAS'!#REF!</definedName>
    <definedName name="DDDDD" localSheetId="12">'[1]BD DESPESAS'!#REF!</definedName>
    <definedName name="DDDDD" localSheetId="0">'[1]BD DESPESAS'!#REF!</definedName>
    <definedName name="DDDDD" localSheetId="13">'[1]BD DESPESAS'!#REF!</definedName>
    <definedName name="DDDDD" localSheetId="3">'[1]BD DESPESAS'!#REF!</definedName>
    <definedName name="DDDDD" localSheetId="4">'[1]BD DESPESAS'!#REF!</definedName>
    <definedName name="DDDDD" localSheetId="5">'[1]BD DESPESAS'!#REF!</definedName>
    <definedName name="DDDDD" localSheetId="6">'[1]BD DESPESAS'!#REF!</definedName>
    <definedName name="DDDDD" localSheetId="7">'[1]BD DESPESAS'!#REF!</definedName>
    <definedName name="DDDDD" localSheetId="8">'[1]BD DESPESAS'!#REF!</definedName>
    <definedName name="DDDDD" localSheetId="9">'[1]BD DESPESAS'!#REF!</definedName>
    <definedName name="DDDDD" localSheetId="10">'[1]BD DESPESAS'!#REF!</definedName>
    <definedName name="DDDDD">'[1]BD DESPESAS'!#REF!</definedName>
    <definedName name="nnn" localSheetId="11">'[1]BD DESPESAS'!#REF!</definedName>
    <definedName name="nnn" localSheetId="12">'[1]BD DESPESAS'!#REF!</definedName>
    <definedName name="nnn" localSheetId="0">'[1]BD DESPESAS'!#REF!</definedName>
    <definedName name="nnn" localSheetId="13">'[1]BD DESPESAS'!#REF!</definedName>
    <definedName name="nnn" localSheetId="3">'[1]BD DESPESAS'!#REF!</definedName>
    <definedName name="nnn" localSheetId="4">'[1]BD DESPESAS'!#REF!</definedName>
    <definedName name="nnn" localSheetId="5">'[1]BD DESPESAS'!#REF!</definedName>
    <definedName name="nnn" localSheetId="6">'[1]BD DESPESAS'!#REF!</definedName>
    <definedName name="nnn" localSheetId="7">'[1]BD DESPESAS'!#REF!</definedName>
    <definedName name="nnn" localSheetId="8">'[1]BD DESPESAS'!#REF!</definedName>
    <definedName name="nnn" localSheetId="9">'[1]BD DESPESAS'!#REF!</definedName>
    <definedName name="nnn" localSheetId="10">'[1]BD DESPESAS'!#REF!</definedName>
    <definedName name="nnn">'[1]BD DESPESAS'!#REF!</definedName>
    <definedName name="NNNNNNNNN" localSheetId="11">#REF!</definedName>
    <definedName name="NNNNNNNNN" localSheetId="12">#REF!</definedName>
    <definedName name="NNNNNNNNN" localSheetId="0">#REF!</definedName>
    <definedName name="NNNNNNNNN" localSheetId="13">#REF!</definedName>
    <definedName name="NNNNNNNNN" localSheetId="3">#REF!</definedName>
    <definedName name="NNNNNNNNN" localSheetId="4">#REF!</definedName>
    <definedName name="NNNNNNNNN" localSheetId="5">#REF!</definedName>
    <definedName name="NNNNNNNNN" localSheetId="6">#REF!</definedName>
    <definedName name="NNNNNNNNN" localSheetId="7">#REF!</definedName>
    <definedName name="NNNNNNNNN" localSheetId="8">#REF!</definedName>
    <definedName name="NNNNNNNNN" localSheetId="9">#REF!</definedName>
    <definedName name="NNNNNNNNN" localSheetId="10">#REF!</definedName>
    <definedName name="NNNNNNNNN">#REF!</definedName>
    <definedName name="sss" localSheetId="11">#REF!</definedName>
    <definedName name="sss" localSheetId="12">#REF!</definedName>
    <definedName name="sss" localSheetId="0">#REF!</definedName>
    <definedName name="sss" localSheetId="13">#REF!</definedName>
    <definedName name="sss" localSheetId="3">#REF!</definedName>
    <definedName name="sss" localSheetId="4">#REF!</definedName>
    <definedName name="sss" localSheetId="5">#REF!</definedName>
    <definedName name="sss" localSheetId="6">#REF!</definedName>
    <definedName name="sss" localSheetId="7">#REF!</definedName>
    <definedName name="sss" localSheetId="8">#REF!</definedName>
    <definedName name="sss" localSheetId="9">#REF!</definedName>
    <definedName name="sss" localSheetId="10">#REF!</definedName>
    <definedName name="sss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7" i="5" l="1"/>
  <c r="C31" i="5"/>
  <c r="C30" i="5"/>
  <c r="C29" i="5"/>
  <c r="C28" i="5"/>
  <c r="C27" i="5"/>
  <c r="C26" i="5"/>
  <c r="C25" i="5"/>
  <c r="C24" i="5"/>
  <c r="C23" i="5"/>
  <c r="C22" i="5"/>
  <c r="C16" i="5"/>
  <c r="C15" i="5"/>
  <c r="C14" i="5"/>
  <c r="C13" i="5"/>
  <c r="C12" i="5"/>
  <c r="C11" i="5"/>
  <c r="C10" i="5"/>
  <c r="C9" i="5"/>
  <c r="C45" i="17"/>
  <c r="C18" i="17"/>
  <c r="C46" i="17" s="1"/>
  <c r="C55" i="17"/>
  <c r="B53" i="17"/>
  <c r="B52" i="17"/>
  <c r="B51" i="17"/>
  <c r="B47" i="17"/>
  <c r="B46" i="17"/>
  <c r="C39" i="17"/>
  <c r="B37" i="17"/>
  <c r="C33" i="17"/>
  <c r="C47" i="17" s="1"/>
  <c r="B31" i="17"/>
  <c r="B30" i="17"/>
  <c r="B29" i="17"/>
  <c r="B28" i="17"/>
  <c r="B27" i="17"/>
  <c r="B26" i="17"/>
  <c r="B25" i="17"/>
  <c r="B24" i="17"/>
  <c r="B23" i="17"/>
  <c r="B22" i="17"/>
  <c r="B16" i="17"/>
  <c r="B15" i="17"/>
  <c r="B14" i="17"/>
  <c r="B13" i="17"/>
  <c r="B12" i="17"/>
  <c r="B11" i="17"/>
  <c r="B10" i="17"/>
  <c r="B9" i="17"/>
  <c r="C48" i="17" l="1"/>
  <c r="C57" i="17" s="1"/>
  <c r="C41" i="17"/>
  <c r="C42" i="17" s="1"/>
  <c r="C45" i="16"/>
  <c r="C55" i="16"/>
  <c r="B53" i="16"/>
  <c r="B52" i="16"/>
  <c r="B51" i="16"/>
  <c r="B47" i="16"/>
  <c r="B46" i="16"/>
  <c r="C39" i="16"/>
  <c r="B37" i="16"/>
  <c r="C33" i="16"/>
  <c r="C47" i="16" s="1"/>
  <c r="B31" i="16"/>
  <c r="B30" i="16"/>
  <c r="B29" i="16"/>
  <c r="B28" i="16"/>
  <c r="B27" i="16"/>
  <c r="B26" i="16"/>
  <c r="B25" i="16"/>
  <c r="B24" i="16"/>
  <c r="B23" i="16"/>
  <c r="B22" i="16"/>
  <c r="C18" i="16"/>
  <c r="C46" i="16" s="1"/>
  <c r="B16" i="16"/>
  <c r="B15" i="16"/>
  <c r="B14" i="16"/>
  <c r="B13" i="16"/>
  <c r="B12" i="16"/>
  <c r="B11" i="16"/>
  <c r="B10" i="16"/>
  <c r="B9" i="16"/>
  <c r="C48" i="16" l="1"/>
  <c r="C57" i="16" s="1"/>
  <c r="C41" i="16"/>
  <c r="C42" i="16" s="1"/>
  <c r="C45" i="15"/>
  <c r="C55" i="15"/>
  <c r="B53" i="15"/>
  <c r="B52" i="15"/>
  <c r="B51" i="15"/>
  <c r="B47" i="15"/>
  <c r="B46" i="15"/>
  <c r="C39" i="15"/>
  <c r="B37" i="15"/>
  <c r="C33" i="15"/>
  <c r="C47" i="15" s="1"/>
  <c r="B31" i="15"/>
  <c r="B30" i="15"/>
  <c r="B29" i="15"/>
  <c r="B28" i="15"/>
  <c r="B27" i="15"/>
  <c r="B26" i="15"/>
  <c r="B25" i="15"/>
  <c r="B24" i="15"/>
  <c r="B23" i="15"/>
  <c r="B22" i="15"/>
  <c r="C18" i="15"/>
  <c r="C46" i="15" s="1"/>
  <c r="B16" i="15"/>
  <c r="B15" i="15"/>
  <c r="B14" i="15"/>
  <c r="B13" i="15"/>
  <c r="B12" i="15"/>
  <c r="B11" i="15"/>
  <c r="B10" i="15"/>
  <c r="B9" i="15"/>
  <c r="C48" i="15" l="1"/>
  <c r="C57" i="15" s="1"/>
  <c r="C41" i="15"/>
  <c r="C42" i="15" s="1"/>
  <c r="C42" i="1" l="1"/>
  <c r="C42" i="2"/>
  <c r="C42" i="8"/>
  <c r="C42" i="9"/>
  <c r="C42" i="10"/>
  <c r="C42" i="11"/>
  <c r="C42" i="12"/>
  <c r="C42" i="13"/>
  <c r="C45" i="14"/>
  <c r="C55" i="14"/>
  <c r="B53" i="14"/>
  <c r="B52" i="14"/>
  <c r="B51" i="14"/>
  <c r="B47" i="14"/>
  <c r="B46" i="14"/>
  <c r="C39" i="14"/>
  <c r="B37" i="14"/>
  <c r="C33" i="14"/>
  <c r="C47" i="14" s="1"/>
  <c r="B31" i="14"/>
  <c r="B30" i="14"/>
  <c r="B29" i="14"/>
  <c r="B28" i="14"/>
  <c r="B27" i="14"/>
  <c r="B26" i="14"/>
  <c r="B25" i="14"/>
  <c r="B24" i="14"/>
  <c r="B23" i="14"/>
  <c r="B22" i="14"/>
  <c r="C18" i="14"/>
  <c r="C46" i="14" s="1"/>
  <c r="B16" i="14"/>
  <c r="B15" i="14"/>
  <c r="B14" i="14"/>
  <c r="B13" i="14"/>
  <c r="B12" i="14"/>
  <c r="B11" i="14"/>
  <c r="B10" i="14"/>
  <c r="B9" i="14"/>
  <c r="C48" i="14" l="1"/>
  <c r="C57" i="14" s="1"/>
  <c r="C41" i="14"/>
  <c r="C42" i="14" s="1"/>
  <c r="C55" i="1"/>
  <c r="C55" i="2"/>
  <c r="C55" i="8"/>
  <c r="C55" i="9"/>
  <c r="C55" i="10"/>
  <c r="C55" i="11"/>
  <c r="C55" i="12"/>
  <c r="C55" i="13"/>
  <c r="C55" i="5"/>
  <c r="C51" i="13"/>
  <c r="B53" i="13"/>
  <c r="B52" i="13"/>
  <c r="B51" i="13"/>
  <c r="B47" i="13"/>
  <c r="B46" i="13"/>
  <c r="C39" i="13"/>
  <c r="B37" i="13"/>
  <c r="C33" i="13"/>
  <c r="C47" i="13" s="1"/>
  <c r="B31" i="13"/>
  <c r="B30" i="13"/>
  <c r="B29" i="13"/>
  <c r="B28" i="13"/>
  <c r="B27" i="13"/>
  <c r="B26" i="13"/>
  <c r="B25" i="13"/>
  <c r="B24" i="13"/>
  <c r="B23" i="13"/>
  <c r="B22" i="13"/>
  <c r="C18" i="13"/>
  <c r="C46" i="13" s="1"/>
  <c r="B16" i="13"/>
  <c r="B15" i="13"/>
  <c r="B14" i="13"/>
  <c r="B13" i="13"/>
  <c r="B12" i="13"/>
  <c r="B11" i="13"/>
  <c r="B10" i="13"/>
  <c r="B9" i="13"/>
  <c r="C41" i="13" l="1"/>
  <c r="B53" i="12"/>
  <c r="B52" i="12"/>
  <c r="B51" i="12"/>
  <c r="B47" i="12"/>
  <c r="B46" i="12"/>
  <c r="C39" i="12"/>
  <c r="B37" i="12"/>
  <c r="C33" i="12"/>
  <c r="C47" i="12" s="1"/>
  <c r="B31" i="12"/>
  <c r="B30" i="12"/>
  <c r="B29" i="12"/>
  <c r="B28" i="12"/>
  <c r="B27" i="12"/>
  <c r="B26" i="12"/>
  <c r="B25" i="12"/>
  <c r="B24" i="12"/>
  <c r="B23" i="12"/>
  <c r="B22" i="12"/>
  <c r="C18" i="12"/>
  <c r="C46" i="12" s="1"/>
  <c r="B16" i="12"/>
  <c r="B15" i="12"/>
  <c r="B14" i="12"/>
  <c r="B13" i="12"/>
  <c r="B12" i="12"/>
  <c r="B11" i="12"/>
  <c r="B10" i="12"/>
  <c r="B9" i="12"/>
  <c r="C41" i="12" l="1"/>
  <c r="B53" i="11" l="1"/>
  <c r="B52" i="11"/>
  <c r="B51" i="11"/>
  <c r="B47" i="11"/>
  <c r="B46" i="11"/>
  <c r="C39" i="11"/>
  <c r="B37" i="11"/>
  <c r="C33" i="11"/>
  <c r="C47" i="11" s="1"/>
  <c r="B31" i="11"/>
  <c r="B30" i="11"/>
  <c r="B29" i="11"/>
  <c r="B28" i="11"/>
  <c r="B27" i="11"/>
  <c r="B26" i="11"/>
  <c r="B25" i="11"/>
  <c r="B24" i="11"/>
  <c r="B23" i="11"/>
  <c r="B22" i="11"/>
  <c r="C18" i="11"/>
  <c r="C46" i="11" s="1"/>
  <c r="B16" i="11"/>
  <c r="B15" i="11"/>
  <c r="B14" i="11"/>
  <c r="B13" i="11"/>
  <c r="B12" i="11"/>
  <c r="B11" i="11"/>
  <c r="B10" i="11"/>
  <c r="B9" i="11"/>
  <c r="C41" i="11" l="1"/>
  <c r="B53" i="10"/>
  <c r="B52" i="10"/>
  <c r="B51" i="10"/>
  <c r="B47" i="10"/>
  <c r="B46" i="10"/>
  <c r="C39" i="10"/>
  <c r="B37" i="10"/>
  <c r="C33" i="10"/>
  <c r="C47" i="10" s="1"/>
  <c r="B31" i="10"/>
  <c r="B30" i="10"/>
  <c r="B29" i="10"/>
  <c r="B28" i="10"/>
  <c r="B27" i="10"/>
  <c r="B26" i="10"/>
  <c r="B25" i="10"/>
  <c r="B24" i="10"/>
  <c r="B23" i="10"/>
  <c r="B22" i="10"/>
  <c r="C18" i="10"/>
  <c r="C46" i="10" s="1"/>
  <c r="B16" i="10"/>
  <c r="B15" i="10"/>
  <c r="B14" i="10"/>
  <c r="B13" i="10"/>
  <c r="B12" i="10"/>
  <c r="B11" i="10"/>
  <c r="B10" i="10"/>
  <c r="B9" i="10"/>
  <c r="C41" i="10" l="1"/>
  <c r="B53" i="9"/>
  <c r="B52" i="9"/>
  <c r="B51" i="9"/>
  <c r="B53" i="8"/>
  <c r="B52" i="8"/>
  <c r="B51" i="8"/>
  <c r="B53" i="2"/>
  <c r="B52" i="2"/>
  <c r="B51" i="2"/>
  <c r="B53" i="1"/>
  <c r="B52" i="1"/>
  <c r="B51" i="1"/>
  <c r="B47" i="9"/>
  <c r="B46" i="9"/>
  <c r="B47" i="8"/>
  <c r="B46" i="8"/>
  <c r="B47" i="2"/>
  <c r="B46" i="2"/>
  <c r="B37" i="9"/>
  <c r="B37" i="8"/>
  <c r="B37" i="2"/>
  <c r="B31" i="9"/>
  <c r="B30" i="9"/>
  <c r="B29" i="9"/>
  <c r="B28" i="9"/>
  <c r="B27" i="9"/>
  <c r="B26" i="9"/>
  <c r="B25" i="9"/>
  <c r="B24" i="9"/>
  <c r="B23" i="9"/>
  <c r="B22" i="9"/>
  <c r="B31" i="8"/>
  <c r="B30" i="8"/>
  <c r="B29" i="8"/>
  <c r="B28" i="8"/>
  <c r="B27" i="8"/>
  <c r="B26" i="8"/>
  <c r="B25" i="8"/>
  <c r="B24" i="8"/>
  <c r="B23" i="8"/>
  <c r="B22" i="8"/>
  <c r="B31" i="2"/>
  <c r="B30" i="2"/>
  <c r="B29" i="2"/>
  <c r="B28" i="2"/>
  <c r="B27" i="2"/>
  <c r="B26" i="2"/>
  <c r="B25" i="2"/>
  <c r="B24" i="2"/>
  <c r="B23" i="2"/>
  <c r="B22" i="2"/>
  <c r="B22" i="1"/>
  <c r="B23" i="1"/>
  <c r="B24" i="1"/>
  <c r="B25" i="1"/>
  <c r="B26" i="1"/>
  <c r="B27" i="1"/>
  <c r="B28" i="1"/>
  <c r="B29" i="1"/>
  <c r="B30" i="1"/>
  <c r="B31" i="1"/>
  <c r="B16" i="9"/>
  <c r="B15" i="9"/>
  <c r="B14" i="9"/>
  <c r="B13" i="9"/>
  <c r="B12" i="9"/>
  <c r="B11" i="9"/>
  <c r="B10" i="9"/>
  <c r="B9" i="9"/>
  <c r="B16" i="8"/>
  <c r="B15" i="8"/>
  <c r="B14" i="8"/>
  <c r="B13" i="8"/>
  <c r="B12" i="8"/>
  <c r="B11" i="8"/>
  <c r="B10" i="8"/>
  <c r="B9" i="8"/>
  <c r="B16" i="2"/>
  <c r="B15" i="2"/>
  <c r="B14" i="2"/>
  <c r="B13" i="2"/>
  <c r="B12" i="2"/>
  <c r="B11" i="2"/>
  <c r="B10" i="2"/>
  <c r="B9" i="2"/>
  <c r="B47" i="1"/>
  <c r="B46" i="1"/>
  <c r="B37" i="1"/>
  <c r="B16" i="1"/>
  <c r="B15" i="1"/>
  <c r="B14" i="1"/>
  <c r="B13" i="1"/>
  <c r="B12" i="1"/>
  <c r="B11" i="1"/>
  <c r="B10" i="1"/>
  <c r="B9" i="1"/>
  <c r="C39" i="9" l="1"/>
  <c r="C33" i="9"/>
  <c r="C41" i="9" s="1"/>
  <c r="C18" i="9"/>
  <c r="C46" i="9" s="1"/>
  <c r="C47" i="9" l="1"/>
  <c r="D28" i="7"/>
  <c r="C39" i="8" l="1"/>
  <c r="C33" i="8"/>
  <c r="C18" i="8"/>
  <c r="C46" i="8" s="1"/>
  <c r="C47" i="8" l="1"/>
  <c r="C41" i="8"/>
  <c r="D38" i="7"/>
  <c r="E38" i="7"/>
  <c r="D5" i="7"/>
  <c r="D4" i="7"/>
  <c r="D37" i="7"/>
  <c r="D36" i="7"/>
  <c r="D35" i="7"/>
  <c r="D34" i="7"/>
  <c r="D33" i="7"/>
  <c r="D32" i="7"/>
  <c r="D31" i="7"/>
  <c r="D30" i="7"/>
  <c r="D29" i="7"/>
  <c r="D17" i="7"/>
  <c r="D16" i="7"/>
  <c r="D15" i="7"/>
  <c r="D14" i="7"/>
  <c r="D13" i="7"/>
  <c r="D12" i="7"/>
  <c r="D11" i="7"/>
  <c r="D10" i="7"/>
  <c r="E37" i="7"/>
  <c r="E36" i="7"/>
  <c r="E35" i="7"/>
  <c r="E34" i="7"/>
  <c r="E33" i="7"/>
  <c r="E32" i="7"/>
  <c r="E31" i="7"/>
  <c r="E30" i="7"/>
  <c r="E29" i="7"/>
  <c r="E28" i="7"/>
  <c r="E27" i="7"/>
  <c r="E9" i="7"/>
  <c r="E17" i="7"/>
  <c r="E16" i="7"/>
  <c r="E15" i="7"/>
  <c r="E14" i="7"/>
  <c r="E13" i="7"/>
  <c r="E12" i="7"/>
  <c r="E11" i="7"/>
  <c r="E10" i="7"/>
  <c r="C45" i="5"/>
  <c r="C18" i="5"/>
  <c r="C39" i="5"/>
  <c r="C33" i="5"/>
  <c r="C41" i="5" l="1"/>
  <c r="C42" i="5" s="1"/>
  <c r="D27" i="7"/>
  <c r="D9" i="7"/>
  <c r="C47" i="5"/>
  <c r="C46" i="5"/>
  <c r="C45" i="2"/>
  <c r="C48" i="5" l="1"/>
  <c r="C57" i="5" s="1"/>
  <c r="C37" i="7"/>
  <c r="C35" i="7"/>
  <c r="C33" i="7"/>
  <c r="C31" i="7"/>
  <c r="C29" i="7"/>
  <c r="C38" i="7"/>
  <c r="C36" i="7"/>
  <c r="C34" i="7"/>
  <c r="C32" i="7"/>
  <c r="C30" i="7"/>
  <c r="C28" i="7"/>
  <c r="D43" i="7"/>
  <c r="E43" i="7" s="1"/>
  <c r="C10" i="7"/>
  <c r="C15" i="7"/>
  <c r="C11" i="7"/>
  <c r="C16" i="7"/>
  <c r="C12" i="7"/>
  <c r="C17" i="7"/>
  <c r="C13" i="7"/>
  <c r="C14" i="7"/>
  <c r="C39" i="2"/>
  <c r="C33" i="2"/>
  <c r="C18" i="2"/>
  <c r="C46" i="2" s="1"/>
  <c r="C27" i="7" l="1"/>
  <c r="C9" i="7"/>
  <c r="C48" i="2"/>
  <c r="C47" i="2"/>
  <c r="C41" i="2"/>
  <c r="C46" i="1"/>
  <c r="C18" i="1"/>
  <c r="C57" i="2" l="1"/>
  <c r="C45" i="8"/>
  <c r="C48" i="8" s="1"/>
  <c r="C39" i="1"/>
  <c r="C57" i="8" l="1"/>
  <c r="C45" i="9"/>
  <c r="C48" i="9" s="1"/>
  <c r="C33" i="1"/>
  <c r="C57" i="9" l="1"/>
  <c r="C45" i="10"/>
  <c r="C48" i="10" s="1"/>
  <c r="C41" i="1"/>
  <c r="C47" i="1"/>
  <c r="C48" i="1" s="1"/>
  <c r="C57" i="1" s="1"/>
  <c r="C57" i="10" l="1"/>
  <c r="C45" i="11"/>
  <c r="C48" i="11" s="1"/>
  <c r="C57" i="11" l="1"/>
  <c r="C45" i="12"/>
  <c r="C48" i="12" s="1"/>
  <c r="C57" i="12" l="1"/>
  <c r="C45" i="13"/>
  <c r="C48" i="13" s="1"/>
  <c r="C57" i="13" s="1"/>
</calcChain>
</file>

<file path=xl/sharedStrings.xml><?xml version="1.0" encoding="utf-8"?>
<sst xmlns="http://schemas.openxmlformats.org/spreadsheetml/2006/main" count="269" uniqueCount="61">
  <si>
    <t>Fluxo de Caixa</t>
  </si>
  <si>
    <t>1 - Receitas - Origem Recursos</t>
  </si>
  <si>
    <t>Total Receitas</t>
  </si>
  <si>
    <t>Total Despesas</t>
  </si>
  <si>
    <t>3 - Investimentos - Aplicações Recursos</t>
  </si>
  <si>
    <t>Total Investimentos</t>
  </si>
  <si>
    <t>Movimentação dos Recursos Financeiros</t>
  </si>
  <si>
    <t>( = ) Saldo de Recursos Financeiros no último dia do mês</t>
  </si>
  <si>
    <t>Contas detentoras dos Recursos Financeiros</t>
  </si>
  <si>
    <t>Bancos Contas Correntes</t>
  </si>
  <si>
    <t>Bancos Contas Aplicações</t>
  </si>
  <si>
    <t>Total</t>
  </si>
  <si>
    <t>Variação Financeira</t>
  </si>
  <si>
    <t>Associação Cultural de Apoio ao Museu Casa de Portinari - Organização Social de Cultura</t>
  </si>
  <si>
    <t>Contrato de Gestão n.º 04/2021</t>
  </si>
  <si>
    <t>Janeiro de 2025</t>
  </si>
  <si>
    <t>Receita -  Repasse Contrato de Gestão</t>
  </si>
  <si>
    <t>Receita - Cessão Onerosa de Espaço</t>
  </si>
  <si>
    <t>Receita - Bilheteria</t>
  </si>
  <si>
    <t>Receita - Comércio (Loja)</t>
  </si>
  <si>
    <t>Receita - Parceiros</t>
  </si>
  <si>
    <t>Receita - Doações</t>
  </si>
  <si>
    <t>Receita - Demais</t>
  </si>
  <si>
    <t>Receita - Financeiras</t>
  </si>
  <si>
    <t>2 - Despesas - Aplicações de Recursos</t>
  </si>
  <si>
    <t>Despesas RH - CLT (Salários - Encargos Sociais - Benefícios)</t>
  </si>
  <si>
    <t>Despesas RH - Estágio (Bolsa - Benefícios)</t>
  </si>
  <si>
    <t>Despesas - Administrativas e Institucionais</t>
  </si>
  <si>
    <t>Despesas Programas - Conexões Museus - SP</t>
  </si>
  <si>
    <t>Despesas Programas - Gestão Museológica</t>
  </si>
  <si>
    <t>Despesas Programas - Comunicação</t>
  </si>
  <si>
    <t>( + ) Saldo de Recursos Financeiros mês anterior</t>
  </si>
  <si>
    <t>( + ) Total Recursos Financeiros Recebidos no mês</t>
  </si>
  <si>
    <t>Resultado</t>
  </si>
  <si>
    <t>( - ) Total Despesas e Investimentos Aplicados no mês</t>
  </si>
  <si>
    <t>Caixas</t>
  </si>
  <si>
    <t>Fevereiro de 2025</t>
  </si>
  <si>
    <t>n.º Ordem</t>
  </si>
  <si>
    <t>Participação das Receitas</t>
  </si>
  <si>
    <t>Demonstrativo das Receitas (Origens de Recursos) e Despesas / Investimentos (Aplicações de Recursos)</t>
  </si>
  <si>
    <t>( + ) Saldo de Recursos Financeiros em 31/12/2024</t>
  </si>
  <si>
    <t>Participação das Despesas e Investimentos</t>
  </si>
  <si>
    <t>Março de 2025</t>
  </si>
  <si>
    <t>Despesas Programas - Acervos</t>
  </si>
  <si>
    <t>Despesas Programas - Exposições e Programações Culturais</t>
  </si>
  <si>
    <t>Despesas Programas - Educativos</t>
  </si>
  <si>
    <t>Aquisições de Bens Duráveis (Imobilizado)</t>
  </si>
  <si>
    <t>Abril de 2025</t>
  </si>
  <si>
    <t>Despesas Programas - Edificações</t>
  </si>
  <si>
    <t>Maio de 2025</t>
  </si>
  <si>
    <t>Junho de 2025</t>
  </si>
  <si>
    <t>Julho de 2025</t>
  </si>
  <si>
    <t>Agosto de 2025</t>
  </si>
  <si>
    <t>Numerários em Trânsito (Nota 1)</t>
  </si>
  <si>
    <t>Nota 1 - Recursos em poder de Protege S/A Proteção e Transporte de Valores.</t>
  </si>
  <si>
    <t>Numerários em Trânsito</t>
  </si>
  <si>
    <t>Setembro de 2025</t>
  </si>
  <si>
    <t>Outubro de 2025</t>
  </si>
  <si>
    <t>Novembro de 2025</t>
  </si>
  <si>
    <t>Dezembro de 2025</t>
  </si>
  <si>
    <t>Jan - Dez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</si>
</sst>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R$&quot;\ * #,##0.00_-;\-&quot;R$&quot;\ * #,##0.00_-;_-&quot;R$&quot;\ * &quot;-&quot;??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u/>
      <sz val="12"/>
      <color theme="1"/>
      <name val="Calibri"/>
      <family val="2"/>
      <scheme val="minor"/>
    </font>
    <font>
      <b/>
      <u/>
      <sz val="12"/>
      <color rgb="FF0000FF"/>
      <name val="Calibri"/>
      <family val="2"/>
      <scheme val="minor"/>
    </font>
    <font>
      <b/>
      <sz val="12"/>
      <color rgb="FF0000FF"/>
      <name val="Calibri"/>
      <family val="2"/>
      <scheme val="minor"/>
    </font>
    <font>
      <u/>
      <sz val="12"/>
      <color rgb="FF0000FF"/>
      <name val="Calibri"/>
      <family val="2"/>
      <scheme val="minor"/>
    </font>
    <font>
      <b/>
      <u/>
      <sz val="12"/>
      <color rgb="FFFF0000"/>
      <name val="Calibri"/>
      <family val="2"/>
      <scheme val="minor"/>
    </font>
    <font>
      <u/>
      <sz val="12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u val="singleAccounting"/>
      <sz val="12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6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0" xfId="0" applyFont="1"/>
    <xf numFmtId="44" fontId="3" fillId="0" borderId="0" xfId="1" applyFont="1"/>
    <xf numFmtId="44" fontId="2" fillId="0" borderId="0" xfId="1" applyFont="1"/>
    <xf numFmtId="0" fontId="4" fillId="0" borderId="0" xfId="0" applyFont="1" applyAlignment="1">
      <alignment horizontal="center"/>
    </xf>
    <xf numFmtId="44" fontId="5" fillId="0" borderId="0" xfId="1" applyFont="1"/>
    <xf numFmtId="0" fontId="4" fillId="0" borderId="0" xfId="0" applyFont="1"/>
    <xf numFmtId="44" fontId="4" fillId="0" borderId="0" xfId="1" applyFont="1"/>
    <xf numFmtId="0" fontId="5" fillId="0" borderId="0" xfId="0" applyFont="1"/>
    <xf numFmtId="0" fontId="3" fillId="0" borderId="0" xfId="0" applyFont="1" applyAlignment="1">
      <alignment horizontal="center"/>
    </xf>
    <xf numFmtId="44" fontId="4" fillId="0" borderId="0" xfId="1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6" fillId="0" borderId="0" xfId="0" applyFont="1"/>
    <xf numFmtId="44" fontId="6" fillId="0" borderId="0" xfId="1" applyFont="1"/>
    <xf numFmtId="0" fontId="7" fillId="0" borderId="0" xfId="0" applyFont="1"/>
    <xf numFmtId="44" fontId="3" fillId="0" borderId="0" xfId="0" applyNumberFormat="1" applyFont="1"/>
    <xf numFmtId="10" fontId="3" fillId="0" borderId="0" xfId="2" applyNumberFormat="1" applyFont="1"/>
    <xf numFmtId="0" fontId="4" fillId="0" borderId="0" xfId="0" applyFont="1" applyAlignment="1"/>
    <xf numFmtId="10" fontId="4" fillId="0" borderId="0" xfId="0" applyNumberFormat="1" applyFont="1"/>
    <xf numFmtId="44" fontId="4" fillId="0" borderId="0" xfId="0" applyNumberFormat="1" applyFont="1"/>
    <xf numFmtId="10" fontId="5" fillId="0" borderId="0" xfId="2" applyNumberFormat="1" applyFont="1"/>
    <xf numFmtId="44" fontId="5" fillId="0" borderId="0" xfId="0" applyNumberFormat="1" applyFont="1"/>
    <xf numFmtId="10" fontId="4" fillId="0" borderId="0" xfId="2" applyNumberFormat="1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44" fontId="8" fillId="0" borderId="0" xfId="1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44" fontId="9" fillId="0" borderId="0" xfId="1" applyFont="1"/>
    <xf numFmtId="44" fontId="10" fillId="0" borderId="0" xfId="1" applyFont="1" applyAlignment="1">
      <alignment horizontal="center"/>
    </xf>
    <xf numFmtId="0" fontId="9" fillId="0" borderId="0" xfId="0" applyFont="1"/>
    <xf numFmtId="0" fontId="1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44" fontId="12" fillId="0" borderId="0" xfId="0" applyNumberFormat="1" applyFont="1"/>
  </cellXfs>
  <cellStyles count="3">
    <cellStyle name="Moeda" xfId="1" builtinId="4"/>
    <cellStyle name="Normal" xfId="0" builtinId="0"/>
    <cellStyle name="Porcentagem" xfId="2" builtinId="5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outEnd"/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-6.1111111111111137E-2"/>
                  <c:y val="0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1.9444444444444445E-2"/>
                  <c:y val="-7.2174738841405503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3.0555555555555555E-2"/>
                  <c:y val="-7.5973409306742651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0.20833333333333334"/>
                  <c:y val="-5.3181386514719847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3055555555555556"/>
                  <c:y val="-6.4577397910731249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0.2722222222222222"/>
                  <c:y val="8.3570750237416905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30555555555555547"/>
                  <c:y val="-3.798670465337131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spc="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val>
            <c:numRef>
              <c:f>'1-12 GRÁFICOS'!$C$10:$C$17</c:f>
              <c:numCache>
                <c:formatCode>0.00%</c:formatCode>
                <c:ptCount val="8"/>
                <c:pt idx="0">
                  <c:v>0.90700175685971529</c:v>
                </c:pt>
                <c:pt idx="1">
                  <c:v>1.0782510966384731E-2</c:v>
                </c:pt>
                <c:pt idx="2">
                  <c:v>2.1468289561419319E-2</c:v>
                </c:pt>
                <c:pt idx="3">
                  <c:v>7.3167592908995284E-3</c:v>
                </c:pt>
                <c:pt idx="4">
                  <c:v>6.2346536280502996E-4</c:v>
                </c:pt>
                <c:pt idx="5">
                  <c:v>6.4634662126107677E-5</c:v>
                </c:pt>
                <c:pt idx="6">
                  <c:v>9.6084734957918192E-4</c:v>
                </c:pt>
                <c:pt idx="7">
                  <c:v>5.1781735947071042E-2</c:v>
                </c:pt>
              </c:numCache>
            </c:numRef>
          </c:val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spc="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val>
            <c:numRef>
              <c:f>'1-12 GRÁFICOS'!$C$28:$C$38</c:f>
              <c:numCache>
                <c:formatCode>0.00%</c:formatCode>
                <c:ptCount val="11"/>
                <c:pt idx="0">
                  <c:v>0.44936083159820467</c:v>
                </c:pt>
                <c:pt idx="1">
                  <c:v>1.8540026344171408E-2</c:v>
                </c:pt>
                <c:pt idx="2">
                  <c:v>0.34478725661969217</c:v>
                </c:pt>
                <c:pt idx="3">
                  <c:v>4.2441561500031186E-2</c:v>
                </c:pt>
                <c:pt idx="4">
                  <c:v>1.0267069842026579E-2</c:v>
                </c:pt>
                <c:pt idx="5">
                  <c:v>8.3846388059409985E-2</c:v>
                </c:pt>
                <c:pt idx="6">
                  <c:v>1.0097470437993895E-2</c:v>
                </c:pt>
                <c:pt idx="7">
                  <c:v>5.0490692947274493E-4</c:v>
                </c:pt>
                <c:pt idx="8">
                  <c:v>1.9128381368222036E-2</c:v>
                </c:pt>
                <c:pt idx="9">
                  <c:v>1.5281562298647093E-2</c:v>
                </c:pt>
                <c:pt idx="10">
                  <c:v>5.7445450021284469E-3</c:v>
                </c:pt>
              </c:numCache>
            </c:numRef>
          </c:val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1</xdr:row>
      <xdr:rowOff>9525</xdr:rowOff>
    </xdr:from>
    <xdr:to>
      <xdr:col>5</xdr:col>
      <xdr:colOff>457200</xdr:colOff>
      <xdr:row>2</xdr:row>
      <xdr:rowOff>90805</xdr:rowOff>
    </xdr:to>
    <xdr:pic>
      <xdr:nvPicPr>
        <xdr:cNvPr id="3" name="image3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33350" y="209550"/>
          <a:ext cx="7296150" cy="281305"/>
        </a:xfrm>
        <a:prstGeom prst="rect">
          <a:avLst/>
        </a:prstGeom>
        <a:ln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1</xdr:row>
      <xdr:rowOff>57150</xdr:rowOff>
    </xdr:from>
    <xdr:to>
      <xdr:col>5</xdr:col>
      <xdr:colOff>409575</xdr:colOff>
      <xdr:row>2</xdr:row>
      <xdr:rowOff>138430</xdr:rowOff>
    </xdr:to>
    <xdr:pic>
      <xdr:nvPicPr>
        <xdr:cNvPr id="2" name="image3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85725" y="257175"/>
          <a:ext cx="7296150" cy="281305"/>
        </a:xfrm>
        <a:prstGeom prst="rect">
          <a:avLst/>
        </a:prstGeom>
        <a:ln/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1</xdr:row>
      <xdr:rowOff>57150</xdr:rowOff>
    </xdr:from>
    <xdr:to>
      <xdr:col>5</xdr:col>
      <xdr:colOff>409575</xdr:colOff>
      <xdr:row>2</xdr:row>
      <xdr:rowOff>138430</xdr:rowOff>
    </xdr:to>
    <xdr:pic>
      <xdr:nvPicPr>
        <xdr:cNvPr id="2" name="image3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85725" y="257175"/>
          <a:ext cx="7296150" cy="281305"/>
        </a:xfrm>
        <a:prstGeom prst="rect">
          <a:avLst/>
        </a:prstGeom>
        <a:ln/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1</xdr:row>
      <xdr:rowOff>57150</xdr:rowOff>
    </xdr:from>
    <xdr:to>
      <xdr:col>5</xdr:col>
      <xdr:colOff>409575</xdr:colOff>
      <xdr:row>2</xdr:row>
      <xdr:rowOff>138430</xdr:rowOff>
    </xdr:to>
    <xdr:pic>
      <xdr:nvPicPr>
        <xdr:cNvPr id="2" name="image3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85725" y="257175"/>
          <a:ext cx="7296150" cy="281305"/>
        </a:xfrm>
        <a:prstGeom prst="rect">
          <a:avLst/>
        </a:prstGeom>
        <a:ln/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1</xdr:row>
      <xdr:rowOff>57150</xdr:rowOff>
    </xdr:from>
    <xdr:to>
      <xdr:col>5</xdr:col>
      <xdr:colOff>409575</xdr:colOff>
      <xdr:row>2</xdr:row>
      <xdr:rowOff>138430</xdr:rowOff>
    </xdr:to>
    <xdr:pic>
      <xdr:nvPicPr>
        <xdr:cNvPr id="2" name="image3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85725" y="257175"/>
          <a:ext cx="7296150" cy="281305"/>
        </a:xfrm>
        <a:prstGeom prst="rect">
          <a:avLst/>
        </a:prstGeom>
        <a:ln/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1</xdr:row>
      <xdr:rowOff>57150</xdr:rowOff>
    </xdr:from>
    <xdr:to>
      <xdr:col>5</xdr:col>
      <xdr:colOff>409575</xdr:colOff>
      <xdr:row>2</xdr:row>
      <xdr:rowOff>138430</xdr:rowOff>
    </xdr:to>
    <xdr:pic>
      <xdr:nvPicPr>
        <xdr:cNvPr id="2" name="image3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85725" y="257175"/>
          <a:ext cx="7296150" cy="281305"/>
        </a:xfrm>
        <a:prstGeom prst="rect">
          <a:avLst/>
        </a:prstGeom>
        <a:ln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133350</xdr:colOff>
      <xdr:row>8</xdr:row>
      <xdr:rowOff>71437</xdr:rowOff>
    </xdr:from>
    <xdr:to>
      <xdr:col>12</xdr:col>
      <xdr:colOff>438150</xdr:colOff>
      <xdr:row>25</xdr:row>
      <xdr:rowOff>14287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90487</xdr:colOff>
      <xdr:row>27</xdr:row>
      <xdr:rowOff>33337</xdr:rowOff>
    </xdr:from>
    <xdr:to>
      <xdr:col>12</xdr:col>
      <xdr:colOff>395287</xdr:colOff>
      <xdr:row>43</xdr:row>
      <xdr:rowOff>180975</xdr:rowOff>
    </xdr:to>
    <xdr:graphicFrame macro="">
      <xdr:nvGraphicFramePr>
        <xdr:cNvPr id="5" name="Gráfico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3</xdr:col>
      <xdr:colOff>85725</xdr:colOff>
      <xdr:row>0</xdr:row>
      <xdr:rowOff>190500</xdr:rowOff>
    </xdr:from>
    <xdr:to>
      <xdr:col>8</xdr:col>
      <xdr:colOff>361950</xdr:colOff>
      <xdr:row>2</xdr:row>
      <xdr:rowOff>71755</xdr:rowOff>
    </xdr:to>
    <xdr:pic>
      <xdr:nvPicPr>
        <xdr:cNvPr id="7" name="image3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1562100" y="190500"/>
          <a:ext cx="7296150" cy="281305"/>
        </a:xfrm>
        <a:prstGeom prst="rect">
          <a:avLst/>
        </a:prstGeom>
        <a:ln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1</xdr:row>
      <xdr:rowOff>0</xdr:rowOff>
    </xdr:from>
    <xdr:to>
      <xdr:col>5</xdr:col>
      <xdr:colOff>466725</xdr:colOff>
      <xdr:row>2</xdr:row>
      <xdr:rowOff>81280</xdr:rowOff>
    </xdr:to>
    <xdr:pic>
      <xdr:nvPicPr>
        <xdr:cNvPr id="3" name="image3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200025"/>
          <a:ext cx="7296150" cy="281305"/>
        </a:xfrm>
        <a:prstGeom prst="rect">
          <a:avLst/>
        </a:prstGeom>
        <a:ln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1</xdr:row>
      <xdr:rowOff>19050</xdr:rowOff>
    </xdr:from>
    <xdr:to>
      <xdr:col>5</xdr:col>
      <xdr:colOff>457200</xdr:colOff>
      <xdr:row>2</xdr:row>
      <xdr:rowOff>100330</xdr:rowOff>
    </xdr:to>
    <xdr:pic>
      <xdr:nvPicPr>
        <xdr:cNvPr id="4" name="image3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33350" y="219075"/>
          <a:ext cx="7296150" cy="281305"/>
        </a:xfrm>
        <a:prstGeom prst="rect">
          <a:avLst/>
        </a:prstGeom>
        <a:ln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146050</xdr:colOff>
      <xdr:row>0</xdr:row>
      <xdr:rowOff>200025</xdr:rowOff>
    </xdr:from>
    <xdr:to>
      <xdr:col>5</xdr:col>
      <xdr:colOff>469900</xdr:colOff>
      <xdr:row>2</xdr:row>
      <xdr:rowOff>74930</xdr:rowOff>
    </xdr:to>
    <xdr:pic>
      <xdr:nvPicPr>
        <xdr:cNvPr id="3" name="image3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6050" y="200025"/>
          <a:ext cx="7292975" cy="287655"/>
        </a:xfrm>
        <a:prstGeom prst="rect">
          <a:avLst/>
        </a:prstGeom>
        <a:ln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1</xdr:row>
      <xdr:rowOff>19050</xdr:rowOff>
    </xdr:from>
    <xdr:to>
      <xdr:col>5</xdr:col>
      <xdr:colOff>400050</xdr:colOff>
      <xdr:row>2</xdr:row>
      <xdr:rowOff>100330</xdr:rowOff>
    </xdr:to>
    <xdr:pic>
      <xdr:nvPicPr>
        <xdr:cNvPr id="3" name="image3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76200" y="219075"/>
          <a:ext cx="7296150" cy="281305"/>
        </a:xfrm>
        <a:prstGeom prst="rect">
          <a:avLst/>
        </a:prstGeom>
        <a:ln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1</xdr:row>
      <xdr:rowOff>0</xdr:rowOff>
    </xdr:from>
    <xdr:to>
      <xdr:col>5</xdr:col>
      <xdr:colOff>447675</xdr:colOff>
      <xdr:row>2</xdr:row>
      <xdr:rowOff>81280</xdr:rowOff>
    </xdr:to>
    <xdr:pic>
      <xdr:nvPicPr>
        <xdr:cNvPr id="3" name="image3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23825" y="200025"/>
          <a:ext cx="7296150" cy="281305"/>
        </a:xfrm>
        <a:prstGeom prst="rect">
          <a:avLst/>
        </a:prstGeom>
        <a:ln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1</xdr:row>
      <xdr:rowOff>57150</xdr:rowOff>
    </xdr:from>
    <xdr:to>
      <xdr:col>5</xdr:col>
      <xdr:colOff>409575</xdr:colOff>
      <xdr:row>2</xdr:row>
      <xdr:rowOff>138430</xdr:rowOff>
    </xdr:to>
    <xdr:pic>
      <xdr:nvPicPr>
        <xdr:cNvPr id="3" name="image3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85725" y="257175"/>
          <a:ext cx="7296150" cy="281305"/>
        </a:xfrm>
        <a:prstGeom prst="rect">
          <a:avLst/>
        </a:prstGeom>
        <a:ln/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1</xdr:row>
      <xdr:rowOff>57150</xdr:rowOff>
    </xdr:from>
    <xdr:to>
      <xdr:col>5</xdr:col>
      <xdr:colOff>409575</xdr:colOff>
      <xdr:row>2</xdr:row>
      <xdr:rowOff>138430</xdr:rowOff>
    </xdr:to>
    <xdr:pic>
      <xdr:nvPicPr>
        <xdr:cNvPr id="2" name="image3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85725" y="257175"/>
          <a:ext cx="7296150" cy="281305"/>
        </a:xfrm>
        <a:prstGeom prst="rect">
          <a:avLst/>
        </a:prstGeom>
        <a:ln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ONTROLES%20FINANCEIROS%20E%20CONT&#193;BEIS%202021/14.%20FINANCEIRO/07%20FINANCEIRO%20JUL%202021%20(AC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CILIAÇÃO ANUAL "/>
      <sheetName val="DIRD TCE"/>
      <sheetName val="BD RECEITAS"/>
      <sheetName val="BD DESPESAS"/>
      <sheetName val="RECURSOS DISPONÍVEIS"/>
      <sheetName val="RECEITAS FINANCEIRAS"/>
      <sheetName val="FLUXO CAIXA"/>
      <sheetName val="DOAR"/>
      <sheetName val="R G 1º QUAD"/>
      <sheetName val="R G 2º QUAD"/>
      <sheetName val="R G 3º QUAD"/>
      <sheetName val="NUMERÁRIOS TRÂNSITO"/>
      <sheetName val="CAIXA SEDE"/>
      <sheetName val="CAIXA LOJA MCP"/>
      <sheetName val="CAIXA MFL"/>
      <sheetName val="CAIXA MCP (PPS)"/>
      <sheetName val="CAIXA MIV (PPS)"/>
      <sheetName val="CC BB LOJA"/>
      <sheetName val="CC BB 10.359-4"/>
      <sheetName val="CC BB CAPTAÇÃO"/>
      <sheetName val="CC BB 609-2 PP-SÓCIOS"/>
      <sheetName val="CC CEF BILHETERIA"/>
      <sheetName val="CC BB CONTINGÊNCIA"/>
      <sheetName val="CC BB RESERVA"/>
      <sheetName val="APLIC BB 10.359-4"/>
      <sheetName val="APLIC BB LOJA"/>
      <sheetName val="APLIC BB CAPTAÇÃO"/>
      <sheetName val="APLIC BB PP-SÓCIOS"/>
      <sheetName val="APLIC CEF BILHETERIA"/>
      <sheetName val="APLIC BB CONTINGÊNCIA"/>
      <sheetName val="APLIC BB RESERVA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D72"/>
  <sheetViews>
    <sheetView showGridLines="0" tabSelected="1" zoomScaleNormal="100" workbookViewId="0">
      <pane xSplit="2" ySplit="7" topLeftCell="C38" activePane="bottomRight" state="frozen"/>
      <selection pane="topRight" activeCell="C1" sqref="C1"/>
      <selection pane="bottomLeft" activeCell="A8" sqref="A8"/>
      <selection pane="bottomRight" activeCell="E57" sqref="E57"/>
    </sheetView>
  </sheetViews>
  <sheetFormatPr defaultRowHeight="15.75" x14ac:dyDescent="0.25"/>
  <cols>
    <col min="1" max="1" width="10.7109375" style="2" customWidth="1"/>
    <col min="2" max="2" width="58.28515625" style="2" bestFit="1" customWidth="1"/>
    <col min="3" max="3" width="20.7109375" style="4" customWidth="1"/>
    <col min="4" max="4" width="5.7109375" style="2" customWidth="1"/>
    <col min="5" max="16384" width="9.140625" style="2"/>
  </cols>
  <sheetData>
    <row r="3" spans="2:4" x14ac:dyDescent="0.25">
      <c r="B3" s="51"/>
      <c r="C3" s="51"/>
      <c r="D3" s="51"/>
    </row>
    <row r="4" spans="2:4" x14ac:dyDescent="0.25">
      <c r="B4" s="52" t="s">
        <v>13</v>
      </c>
      <c r="C4" s="52"/>
      <c r="D4" s="52"/>
    </row>
    <row r="5" spans="2:4" x14ac:dyDescent="0.25">
      <c r="B5" s="52" t="s">
        <v>14</v>
      </c>
      <c r="C5" s="52"/>
      <c r="D5" s="52"/>
    </row>
    <row r="6" spans="2:4" x14ac:dyDescent="0.25">
      <c r="B6" s="14"/>
      <c r="C6" s="14"/>
      <c r="D6" s="14"/>
    </row>
    <row r="7" spans="2:4" x14ac:dyDescent="0.25">
      <c r="B7" s="6" t="s">
        <v>0</v>
      </c>
      <c r="C7" s="12" t="s">
        <v>60</v>
      </c>
    </row>
    <row r="8" spans="2:4" s="3" customFormat="1" x14ac:dyDescent="0.25">
      <c r="B8" s="8" t="s">
        <v>1</v>
      </c>
      <c r="C8" s="9"/>
    </row>
    <row r="9" spans="2:4" x14ac:dyDescent="0.25">
      <c r="B9" s="10" t="s">
        <v>16</v>
      </c>
      <c r="C9" s="7">
        <f>'1 JAN'!C9+'2 FEV'!C9+'3 MAR'!C9+'4 ABR'!C9+'5 MAI'!C9+'6 JUN'!C9+'7 JUL'!C9+'8 AGO'!C9+'9 SET'!C9+'10 OUT'!C9+'11 NOV'!C9+'12 DEZ'!C9</f>
        <v>20112292</v>
      </c>
    </row>
    <row r="10" spans="2:4" x14ac:dyDescent="0.25">
      <c r="B10" s="10" t="s">
        <v>17</v>
      </c>
      <c r="C10" s="7">
        <f>'1 JAN'!C10+'2 FEV'!C10+'3 MAR'!C10+'4 ABR'!C10+'5 MAI'!C10+'6 JUN'!C10+'7 JUL'!C10+'8 AGO'!C10+'9 SET'!C10+'10 OUT'!C10+'11 NOV'!C10+'12 DEZ'!C10</f>
        <v>239096.57</v>
      </c>
    </row>
    <row r="11" spans="2:4" x14ac:dyDescent="0.25">
      <c r="B11" s="10" t="s">
        <v>18</v>
      </c>
      <c r="C11" s="7">
        <f>'1 JAN'!C11+'2 FEV'!C11+'3 MAR'!C11+'4 ABR'!C11+'5 MAI'!C11+'6 JUN'!C11+'7 JUL'!C11+'8 AGO'!C11+'9 SET'!C11+'10 OUT'!C11+'11 NOV'!C11+'12 DEZ'!C11</f>
        <v>476048.14999999997</v>
      </c>
    </row>
    <row r="12" spans="2:4" x14ac:dyDescent="0.25">
      <c r="B12" s="10" t="s">
        <v>19</v>
      </c>
      <c r="C12" s="7">
        <f>'1 JAN'!C12+'2 FEV'!C12+'3 MAR'!C12+'4 ABR'!C12+'5 MAI'!C12+'6 JUN'!C12+'7 JUL'!C12+'8 AGO'!C12+'9 SET'!C12+'10 OUT'!C12+'11 NOV'!C12+'12 DEZ'!C12</f>
        <v>162245.32999999999</v>
      </c>
    </row>
    <row r="13" spans="2:4" x14ac:dyDescent="0.25">
      <c r="B13" s="10" t="s">
        <v>20</v>
      </c>
      <c r="C13" s="7">
        <f>'1 JAN'!C13+'2 FEV'!C13+'3 MAR'!C13+'4 ABR'!C13+'5 MAI'!C13+'6 JUN'!C13+'7 JUL'!C13+'8 AGO'!C13+'9 SET'!C13+'10 OUT'!C13+'11 NOV'!C13+'12 DEZ'!C13</f>
        <v>13825.02</v>
      </c>
    </row>
    <row r="14" spans="2:4" x14ac:dyDescent="0.25">
      <c r="B14" s="10" t="s">
        <v>21</v>
      </c>
      <c r="C14" s="7">
        <f>'1 JAN'!C14+'2 FEV'!C14+'3 MAR'!C14+'4 ABR'!C14+'5 MAI'!C14+'6 JUN'!C14+'7 JUL'!C14+'8 AGO'!C14+'9 SET'!C14+'10 OUT'!C14+'11 NOV'!C14+'12 DEZ'!C14</f>
        <v>1433.24</v>
      </c>
    </row>
    <row r="15" spans="2:4" x14ac:dyDescent="0.25">
      <c r="B15" s="10" t="s">
        <v>22</v>
      </c>
      <c r="C15" s="7">
        <f>'1 JAN'!C15+'2 FEV'!C15+'3 MAR'!C15+'4 ABR'!C15+'5 MAI'!C15+'6 JUN'!C15+'7 JUL'!C15+'8 AGO'!C15+'9 SET'!C15+'10 OUT'!C15+'11 NOV'!C15+'12 DEZ'!C15</f>
        <v>21306.29</v>
      </c>
    </row>
    <row r="16" spans="2:4" x14ac:dyDescent="0.25">
      <c r="B16" s="10" t="s">
        <v>23</v>
      </c>
      <c r="C16" s="7">
        <f>'1 JAN'!C16+'2 FEV'!C16+'3 MAR'!C16+'4 ABR'!C16+'5 MAI'!C16+'6 JUN'!C16+'7 JUL'!C16+'8 AGO'!C16+'9 SET'!C16+'10 OUT'!C16+'11 NOV'!C16+'12 DEZ'!C16</f>
        <v>1148233.05</v>
      </c>
    </row>
    <row r="17" spans="2:3" x14ac:dyDescent="0.25">
      <c r="B17" s="10"/>
      <c r="C17" s="7"/>
    </row>
    <row r="18" spans="2:3" s="3" customFormat="1" x14ac:dyDescent="0.25">
      <c r="B18" s="8" t="s">
        <v>2</v>
      </c>
      <c r="C18" s="9">
        <f>SUM(C9:C16)</f>
        <v>22174479.649999995</v>
      </c>
    </row>
    <row r="21" spans="2:3" s="3" customFormat="1" x14ac:dyDescent="0.25">
      <c r="B21" s="8" t="s">
        <v>24</v>
      </c>
      <c r="C21" s="9"/>
    </row>
    <row r="22" spans="2:3" x14ac:dyDescent="0.25">
      <c r="B22" s="10" t="s">
        <v>25</v>
      </c>
      <c r="C22" s="7">
        <f>'1 JAN'!C22+'2 FEV'!C22+'3 MAR'!C22+'4 ABR'!C22+'5 MAI'!C22+'6 JUN'!C22+'7 JUL'!C22+'8 AGO'!C22+'9 SET'!C22+'10 OUT'!C22+'11 NOV'!C22+'12 DEZ'!C22</f>
        <v>10276462.609999999</v>
      </c>
    </row>
    <row r="23" spans="2:3" x14ac:dyDescent="0.25">
      <c r="B23" s="10" t="s">
        <v>26</v>
      </c>
      <c r="C23" s="7">
        <f>'1 JAN'!C23+'2 FEV'!C23+'3 MAR'!C23+'4 ABR'!C23+'5 MAI'!C23+'6 JUN'!C23+'7 JUL'!C23+'8 AGO'!C23+'9 SET'!C23+'10 OUT'!C23+'11 NOV'!C23+'12 DEZ'!C23</f>
        <v>423993.09</v>
      </c>
    </row>
    <row r="24" spans="2:3" x14ac:dyDescent="0.25">
      <c r="B24" s="10" t="s">
        <v>27</v>
      </c>
      <c r="C24" s="7">
        <f>'1 JAN'!C24+'2 FEV'!C24+'3 MAR'!C24+'4 ABR'!C24+'5 MAI'!C24+'6 JUN'!C24+'7 JUL'!C24+'8 AGO'!C24+'9 SET'!C24+'10 OUT'!C24+'11 NOV'!C24+'12 DEZ'!C24</f>
        <v>7884962.5999999987</v>
      </c>
    </row>
    <row r="25" spans="2:3" x14ac:dyDescent="0.25">
      <c r="B25" s="10" t="s">
        <v>48</v>
      </c>
      <c r="C25" s="7">
        <f>'1 JAN'!C25+'2 FEV'!C25+'3 MAR'!C25+'4 ABR'!C25+'5 MAI'!C25+'6 JUN'!C25+'7 JUL'!C25+'8 AGO'!C25+'9 SET'!C25+'10 OUT'!C25+'11 NOV'!C25+'12 DEZ'!C25</f>
        <v>970598.87999999989</v>
      </c>
    </row>
    <row r="26" spans="2:3" x14ac:dyDescent="0.25">
      <c r="B26" s="10" t="s">
        <v>43</v>
      </c>
      <c r="C26" s="7">
        <f>'1 JAN'!C26+'2 FEV'!C26+'3 MAR'!C26+'4 ABR'!C26+'5 MAI'!C26+'6 JUN'!C26+'7 JUL'!C26+'8 AGO'!C26+'9 SET'!C26+'10 OUT'!C26+'11 NOV'!C26+'12 DEZ'!C26</f>
        <v>234798.3</v>
      </c>
    </row>
    <row r="27" spans="2:3" x14ac:dyDescent="0.25">
      <c r="B27" s="10" t="s">
        <v>44</v>
      </c>
      <c r="C27" s="7">
        <f>'1 JAN'!C27+'2 FEV'!C27+'3 MAR'!C27+'4 ABR'!C27+'5 MAI'!C27+'6 JUN'!C27+'7 JUL'!C27+'8 AGO'!C27+'9 SET'!C27+'10 OUT'!C27+'11 NOV'!C27+'12 DEZ'!C27</f>
        <v>1917488.5999999999</v>
      </c>
    </row>
    <row r="28" spans="2:3" x14ac:dyDescent="0.25">
      <c r="B28" s="10" t="s">
        <v>45</v>
      </c>
      <c r="C28" s="7">
        <f>'1 JAN'!C28+'2 FEV'!C28+'3 MAR'!C28+'4 ABR'!C28+'5 MAI'!C28+'6 JUN'!C28+'7 JUL'!C28+'8 AGO'!C28+'9 SET'!C28+'10 OUT'!C28+'11 NOV'!C28+'12 DEZ'!C28</f>
        <v>230919.72000000003</v>
      </c>
    </row>
    <row r="29" spans="2:3" x14ac:dyDescent="0.25">
      <c r="B29" s="10" t="s">
        <v>28</v>
      </c>
      <c r="C29" s="7">
        <f>'1 JAN'!C29+'2 FEV'!C29+'3 MAR'!C29+'4 ABR'!C29+'5 MAI'!C29+'6 JUN'!C29+'7 JUL'!C29+'8 AGO'!C29+'9 SET'!C29+'10 OUT'!C29+'11 NOV'!C29+'12 DEZ'!C29</f>
        <v>11546.75</v>
      </c>
    </row>
    <row r="30" spans="2:3" x14ac:dyDescent="0.25">
      <c r="B30" s="10" t="s">
        <v>29</v>
      </c>
      <c r="C30" s="7">
        <f>'1 JAN'!C30+'2 FEV'!C30+'3 MAR'!C30+'4 ABR'!C30+'5 MAI'!C30+'6 JUN'!C30+'7 JUL'!C30+'8 AGO'!C30+'9 SET'!C30+'10 OUT'!C30+'11 NOV'!C30+'12 DEZ'!C30</f>
        <v>437448.22</v>
      </c>
    </row>
    <row r="31" spans="2:3" x14ac:dyDescent="0.25">
      <c r="B31" s="10" t="s">
        <v>30</v>
      </c>
      <c r="C31" s="7">
        <f>'1 JAN'!C31+'2 FEV'!C31+'3 MAR'!C31+'4 ABR'!C31+'5 MAI'!C31+'6 JUN'!C31+'7 JUL'!C31+'8 AGO'!C31+'9 SET'!C31+'10 OUT'!C31+'11 NOV'!C31+'12 DEZ'!C31</f>
        <v>349475.06000000006</v>
      </c>
    </row>
    <row r="32" spans="2:3" x14ac:dyDescent="0.25">
      <c r="B32" s="10"/>
      <c r="C32" s="7"/>
    </row>
    <row r="33" spans="2:3" s="3" customFormat="1" x14ac:dyDescent="0.25">
      <c r="B33" s="8" t="s">
        <v>3</v>
      </c>
      <c r="C33" s="9">
        <f>SUM(C22:C31)</f>
        <v>22737693.829999994</v>
      </c>
    </row>
    <row r="34" spans="2:3" x14ac:dyDescent="0.25">
      <c r="B34" s="10"/>
      <c r="C34" s="7"/>
    </row>
    <row r="35" spans="2:3" x14ac:dyDescent="0.25">
      <c r="B35" s="10"/>
      <c r="C35" s="7"/>
    </row>
    <row r="36" spans="2:3" s="3" customFormat="1" x14ac:dyDescent="0.25">
      <c r="B36" s="8" t="s">
        <v>4</v>
      </c>
      <c r="C36" s="9"/>
    </row>
    <row r="37" spans="2:3" x14ac:dyDescent="0.25">
      <c r="B37" s="10" t="s">
        <v>46</v>
      </c>
      <c r="C37" s="7">
        <f>'1 JAN'!C37+'2 FEV'!C37+'3 MAR'!C37+'4 ABR'!C37+'5 MAI'!C37+'6 JUN'!C37+'7 JUL'!C37+'8 AGO'!C37+'9 SET'!C37+'10 OUT'!C37+'11 NOV'!C37+'12 DEZ'!C37</f>
        <v>131372.38</v>
      </c>
    </row>
    <row r="38" spans="2:3" x14ac:dyDescent="0.25">
      <c r="B38" s="10"/>
      <c r="C38" s="7"/>
    </row>
    <row r="39" spans="2:3" s="3" customFormat="1" x14ac:dyDescent="0.25">
      <c r="B39" s="8" t="s">
        <v>5</v>
      </c>
      <c r="C39" s="9">
        <f>C37</f>
        <v>131372.38</v>
      </c>
    </row>
    <row r="40" spans="2:3" x14ac:dyDescent="0.25">
      <c r="B40" s="10"/>
      <c r="C40" s="7"/>
    </row>
    <row r="41" spans="2:3" s="3" customFormat="1" x14ac:dyDescent="0.25">
      <c r="B41" s="8" t="s">
        <v>33</v>
      </c>
      <c r="C41" s="35">
        <f>C18-(C33+C39)</f>
        <v>-694586.55999999866</v>
      </c>
    </row>
    <row r="42" spans="2:3" x14ac:dyDescent="0.25">
      <c r="B42" s="10"/>
      <c r="C42" s="36" t="str">
        <f>IF(C41&gt;=0,"Superávit","Défict")</f>
        <v>Défict</v>
      </c>
    </row>
    <row r="44" spans="2:3" s="3" customFormat="1" x14ac:dyDescent="0.25">
      <c r="B44" s="8" t="s">
        <v>6</v>
      </c>
      <c r="C44" s="9"/>
    </row>
    <row r="45" spans="2:3" s="3" customFormat="1" x14ac:dyDescent="0.25">
      <c r="B45" s="8" t="s">
        <v>40</v>
      </c>
      <c r="C45" s="9">
        <f>'1 JAN'!C45</f>
        <v>9228566.0299999993</v>
      </c>
    </row>
    <row r="46" spans="2:3" x14ac:dyDescent="0.25">
      <c r="B46" s="10" t="s">
        <v>32</v>
      </c>
      <c r="C46" s="7">
        <f>C18</f>
        <v>22174479.649999995</v>
      </c>
    </row>
    <row r="47" spans="2:3" x14ac:dyDescent="0.25">
      <c r="B47" s="10" t="s">
        <v>34</v>
      </c>
      <c r="C47" s="7">
        <f>C33+C39</f>
        <v>22869066.209999993</v>
      </c>
    </row>
    <row r="48" spans="2:3" s="3" customFormat="1" x14ac:dyDescent="0.25">
      <c r="B48" s="8" t="s">
        <v>7</v>
      </c>
      <c r="C48" s="9">
        <f>C45+C46-C47</f>
        <v>8533979.4699999988</v>
      </c>
    </row>
    <row r="49" spans="2:3" x14ac:dyDescent="0.25">
      <c r="B49" s="10"/>
      <c r="C49" s="7"/>
    </row>
    <row r="50" spans="2:3" s="3" customFormat="1" x14ac:dyDescent="0.25">
      <c r="B50" s="8" t="s">
        <v>8</v>
      </c>
      <c r="C50" s="9"/>
    </row>
    <row r="51" spans="2:3" x14ac:dyDescent="0.25">
      <c r="B51" s="10" t="s">
        <v>35</v>
      </c>
      <c r="C51" s="7">
        <v>5547.84</v>
      </c>
    </row>
    <row r="52" spans="2:3" x14ac:dyDescent="0.25">
      <c r="B52" s="10" t="s">
        <v>9</v>
      </c>
      <c r="C52" s="7">
        <v>25846.66</v>
      </c>
    </row>
    <row r="53" spans="2:3" x14ac:dyDescent="0.25">
      <c r="B53" s="10" t="s">
        <v>10</v>
      </c>
      <c r="C53" s="7">
        <v>8480453.9700000007</v>
      </c>
    </row>
    <row r="54" spans="2:3" x14ac:dyDescent="0.25">
      <c r="B54" s="10" t="s">
        <v>53</v>
      </c>
      <c r="C54" s="7">
        <v>22131</v>
      </c>
    </row>
    <row r="55" spans="2:3" s="3" customFormat="1" x14ac:dyDescent="0.25">
      <c r="B55" s="8" t="s">
        <v>11</v>
      </c>
      <c r="C55" s="9">
        <f>SUM(C51:C54)</f>
        <v>8533979.4700000007</v>
      </c>
    </row>
    <row r="56" spans="2:3" x14ac:dyDescent="0.25">
      <c r="B56" s="10"/>
      <c r="C56" s="7"/>
    </row>
    <row r="57" spans="2:3" s="38" customFormat="1" x14ac:dyDescent="0.25">
      <c r="B57" s="37" t="s">
        <v>12</v>
      </c>
      <c r="C57" s="35">
        <f>C48-C45</f>
        <v>-694586.56000000052</v>
      </c>
    </row>
    <row r="59" spans="2:3" x14ac:dyDescent="0.25">
      <c r="B59" s="53" t="s">
        <v>54</v>
      </c>
      <c r="C59" s="53"/>
    </row>
    <row r="64" spans="2:3" s="3" customFormat="1" x14ac:dyDescent="0.25">
      <c r="B64" s="1"/>
      <c r="C64" s="5"/>
    </row>
    <row r="65" spans="2:2" x14ac:dyDescent="0.25">
      <c r="B65" s="1"/>
    </row>
    <row r="69" spans="2:2" x14ac:dyDescent="0.25">
      <c r="B69" s="1"/>
    </row>
    <row r="72" spans="2:2" x14ac:dyDescent="0.25">
      <c r="B72" s="1"/>
    </row>
  </sheetData>
  <mergeCells count="4">
    <mergeCell ref="B3:D3"/>
    <mergeCell ref="B4:D4"/>
    <mergeCell ref="B5:D5"/>
    <mergeCell ref="B59:C59"/>
  </mergeCells>
  <pageMargins left="0.6692913385826772" right="0.51181102362204722" top="0.19685039370078741" bottom="0.27559055118110237" header="0.15748031496062992" footer="0.19685039370078741"/>
  <pageSetup paperSize="9" scale="72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72"/>
  <sheetViews>
    <sheetView showGridLines="0" zoomScaleNormal="100" workbookViewId="0">
      <pane xSplit="2" ySplit="7" topLeftCell="C32" activePane="bottomRight" state="frozen"/>
      <selection pane="topRight" activeCell="C1" sqref="C1"/>
      <selection pane="bottomLeft" activeCell="A8" sqref="A8"/>
      <selection pane="bottomRight" activeCell="C43" sqref="C43"/>
    </sheetView>
  </sheetViews>
  <sheetFormatPr defaultRowHeight="15.75" x14ac:dyDescent="0.25"/>
  <cols>
    <col min="1" max="1" width="10.7109375" style="2" customWidth="1"/>
    <col min="2" max="2" width="58.28515625" style="2" bestFit="1" customWidth="1"/>
    <col min="3" max="3" width="20.7109375" style="4" customWidth="1"/>
    <col min="4" max="4" width="5.7109375" style="2" customWidth="1"/>
    <col min="5" max="16384" width="9.140625" style="2"/>
  </cols>
  <sheetData>
    <row r="3" spans="2:4" x14ac:dyDescent="0.25">
      <c r="B3" s="51"/>
      <c r="C3" s="51"/>
      <c r="D3" s="51"/>
    </row>
    <row r="4" spans="2:4" x14ac:dyDescent="0.25">
      <c r="B4" s="52" t="s">
        <v>13</v>
      </c>
      <c r="C4" s="52"/>
      <c r="D4" s="52"/>
    </row>
    <row r="5" spans="2:4" x14ac:dyDescent="0.25">
      <c r="B5" s="52" t="s">
        <v>14</v>
      </c>
      <c r="C5" s="52"/>
      <c r="D5" s="52"/>
    </row>
    <row r="6" spans="2:4" x14ac:dyDescent="0.25">
      <c r="B6" s="41"/>
      <c r="C6" s="41"/>
      <c r="D6" s="41"/>
    </row>
    <row r="7" spans="2:4" x14ac:dyDescent="0.25">
      <c r="B7" s="42" t="s">
        <v>0</v>
      </c>
      <c r="C7" s="12" t="s">
        <v>52</v>
      </c>
    </row>
    <row r="8" spans="2:4" s="3" customFormat="1" x14ac:dyDescent="0.25">
      <c r="B8" s="8" t="s">
        <v>1</v>
      </c>
      <c r="C8" s="9"/>
    </row>
    <row r="9" spans="2:4" x14ac:dyDescent="0.25">
      <c r="B9" s="10" t="str">
        <f>'1-12 ACUMULADO'!$B$9</f>
        <v>Receita -  Repasse Contrato de Gestão</v>
      </c>
      <c r="C9" s="7">
        <v>2897000</v>
      </c>
    </row>
    <row r="10" spans="2:4" x14ac:dyDescent="0.25">
      <c r="B10" s="10" t="str">
        <f>'1-12 ACUMULADO'!$B$10</f>
        <v>Receita - Cessão Onerosa de Espaço</v>
      </c>
      <c r="C10" s="7">
        <v>34174.01</v>
      </c>
    </row>
    <row r="11" spans="2:4" x14ac:dyDescent="0.25">
      <c r="B11" s="10" t="str">
        <f>'1-12 ACUMULADO'!$B$11</f>
        <v>Receita - Bilheteria</v>
      </c>
      <c r="C11" s="7">
        <v>40308.9</v>
      </c>
    </row>
    <row r="12" spans="2:4" x14ac:dyDescent="0.25">
      <c r="B12" s="10" t="str">
        <f>'1-12 ACUMULADO'!$B$12</f>
        <v>Receita - Comércio (Loja)</v>
      </c>
      <c r="C12" s="7">
        <v>16492.39</v>
      </c>
    </row>
    <row r="13" spans="2:4" x14ac:dyDescent="0.25">
      <c r="B13" s="10" t="str">
        <f>'1-12 ACUMULADO'!$B$13</f>
        <v>Receita - Parceiros</v>
      </c>
      <c r="C13" s="7">
        <v>1408.33</v>
      </c>
    </row>
    <row r="14" spans="2:4" x14ac:dyDescent="0.25">
      <c r="B14" s="10" t="str">
        <f>'1-12 ACUMULADO'!$B$14</f>
        <v>Receita - Doações</v>
      </c>
      <c r="C14" s="7">
        <v>0</v>
      </c>
    </row>
    <row r="15" spans="2:4" x14ac:dyDescent="0.25">
      <c r="B15" s="10" t="str">
        <f>'1-12 ACUMULADO'!$B$15</f>
        <v>Receita - Demais</v>
      </c>
      <c r="C15" s="7">
        <v>0</v>
      </c>
    </row>
    <row r="16" spans="2:4" x14ac:dyDescent="0.25">
      <c r="B16" s="10" t="str">
        <f>'1-12 ACUMULADO'!$B$16</f>
        <v>Receita - Financeiras</v>
      </c>
      <c r="C16" s="7">
        <v>86282</v>
      </c>
    </row>
    <row r="17" spans="2:3" x14ac:dyDescent="0.25">
      <c r="B17" s="10"/>
      <c r="C17" s="7"/>
    </row>
    <row r="18" spans="2:3" s="3" customFormat="1" x14ac:dyDescent="0.25">
      <c r="B18" s="8" t="s">
        <v>2</v>
      </c>
      <c r="C18" s="9">
        <f>SUM(C9:C16)</f>
        <v>3075665.63</v>
      </c>
    </row>
    <row r="21" spans="2:3" s="3" customFormat="1" x14ac:dyDescent="0.25">
      <c r="B21" s="8" t="s">
        <v>24</v>
      </c>
      <c r="C21" s="9"/>
    </row>
    <row r="22" spans="2:3" x14ac:dyDescent="0.25">
      <c r="B22" s="10" t="str">
        <f>'1-12 ACUMULADO'!$B$22</f>
        <v>Despesas RH - CLT (Salários - Encargos Sociais - Benefícios)</v>
      </c>
      <c r="C22" s="7">
        <v>776203.23</v>
      </c>
    </row>
    <row r="23" spans="2:3" x14ac:dyDescent="0.25">
      <c r="B23" s="10" t="str">
        <f>'1-12 ACUMULADO'!$B$23</f>
        <v>Despesas RH - Estágio (Bolsa - Benefícios)</v>
      </c>
      <c r="C23" s="7">
        <v>38209.040000000001</v>
      </c>
    </row>
    <row r="24" spans="2:3" x14ac:dyDescent="0.25">
      <c r="B24" s="10" t="str">
        <f>'1-12 ACUMULADO'!$B$24</f>
        <v>Despesas - Administrativas e Institucionais</v>
      </c>
      <c r="C24" s="7">
        <v>793126.72</v>
      </c>
    </row>
    <row r="25" spans="2:3" x14ac:dyDescent="0.25">
      <c r="B25" s="10" t="str">
        <f>'1-12 ACUMULADO'!$B$25</f>
        <v>Despesas Programas - Edificações</v>
      </c>
      <c r="C25" s="7">
        <v>92668.24</v>
      </c>
    </row>
    <row r="26" spans="2:3" x14ac:dyDescent="0.25">
      <c r="B26" s="10" t="str">
        <f>'1-12 ACUMULADO'!$B$26</f>
        <v>Despesas Programas - Acervos</v>
      </c>
      <c r="C26" s="7">
        <v>26296.18</v>
      </c>
    </row>
    <row r="27" spans="2:3" x14ac:dyDescent="0.25">
      <c r="B27" s="10" t="str">
        <f>'1-12 ACUMULADO'!$B$27</f>
        <v>Despesas Programas - Exposições e Programações Culturais</v>
      </c>
      <c r="C27" s="7">
        <v>272105.95</v>
      </c>
    </row>
    <row r="28" spans="2:3" x14ac:dyDescent="0.25">
      <c r="B28" s="10" t="str">
        <f>'1-12 ACUMULADO'!$B$28</f>
        <v>Despesas Programas - Educativos</v>
      </c>
      <c r="C28" s="7">
        <v>16137.13</v>
      </c>
    </row>
    <row r="29" spans="2:3" x14ac:dyDescent="0.25">
      <c r="B29" s="10" t="str">
        <f>'1-12 ACUMULADO'!$B$29</f>
        <v>Despesas Programas - Conexões Museus - SP</v>
      </c>
      <c r="C29" s="7">
        <v>2168.15</v>
      </c>
    </row>
    <row r="30" spans="2:3" x14ac:dyDescent="0.25">
      <c r="B30" s="10" t="str">
        <f>'1-12 ACUMULADO'!$B$30</f>
        <v>Despesas Programas - Gestão Museológica</v>
      </c>
      <c r="C30" s="7">
        <v>17226.560000000001</v>
      </c>
    </row>
    <row r="31" spans="2:3" x14ac:dyDescent="0.25">
      <c r="B31" s="10" t="str">
        <f>'1-12 ACUMULADO'!$B$31</f>
        <v>Despesas Programas - Comunicação</v>
      </c>
      <c r="C31" s="7">
        <v>30913.73</v>
      </c>
    </row>
    <row r="32" spans="2:3" x14ac:dyDescent="0.25">
      <c r="B32" s="10"/>
      <c r="C32" s="7"/>
    </row>
    <row r="33" spans="2:3" s="3" customFormat="1" x14ac:dyDescent="0.25">
      <c r="B33" s="8" t="s">
        <v>3</v>
      </c>
      <c r="C33" s="9">
        <f>SUM(C22:C31)</f>
        <v>2065054.9299999997</v>
      </c>
    </row>
    <row r="34" spans="2:3" x14ac:dyDescent="0.25">
      <c r="B34" s="10"/>
      <c r="C34" s="7"/>
    </row>
    <row r="35" spans="2:3" x14ac:dyDescent="0.25">
      <c r="B35" s="10"/>
      <c r="C35" s="7"/>
    </row>
    <row r="36" spans="2:3" s="3" customFormat="1" x14ac:dyDescent="0.25">
      <c r="B36" s="8" t="s">
        <v>4</v>
      </c>
      <c r="C36" s="9"/>
    </row>
    <row r="37" spans="2:3" x14ac:dyDescent="0.25">
      <c r="B37" s="10" t="str">
        <f>'1-12 ACUMULADO'!$B$37</f>
        <v>Aquisições de Bens Duráveis (Imobilizado)</v>
      </c>
      <c r="C37" s="7">
        <v>15129.95</v>
      </c>
    </row>
    <row r="38" spans="2:3" x14ac:dyDescent="0.25">
      <c r="B38" s="10"/>
      <c r="C38" s="7"/>
    </row>
    <row r="39" spans="2:3" s="3" customFormat="1" x14ac:dyDescent="0.25">
      <c r="B39" s="8" t="s">
        <v>5</v>
      </c>
      <c r="C39" s="9">
        <f>C37</f>
        <v>15129.95</v>
      </c>
    </row>
    <row r="40" spans="2:3" x14ac:dyDescent="0.25">
      <c r="B40" s="10"/>
      <c r="C40" s="7"/>
    </row>
    <row r="41" spans="2:3" s="3" customFormat="1" x14ac:dyDescent="0.25">
      <c r="B41" s="8" t="s">
        <v>33</v>
      </c>
      <c r="C41" s="16">
        <f>C18-(C33+C39)</f>
        <v>995480.75000000023</v>
      </c>
    </row>
    <row r="42" spans="2:3" x14ac:dyDescent="0.25">
      <c r="B42" s="10"/>
      <c r="C42" s="30" t="str">
        <f>IF(C41&gt;=0,"Superávit","Défict")</f>
        <v>Superávit</v>
      </c>
    </row>
    <row r="44" spans="2:3" s="3" customFormat="1" x14ac:dyDescent="0.25">
      <c r="B44" s="8" t="s">
        <v>6</v>
      </c>
      <c r="C44" s="9"/>
    </row>
    <row r="45" spans="2:3" s="3" customFormat="1" x14ac:dyDescent="0.25">
      <c r="B45" s="8" t="s">
        <v>31</v>
      </c>
      <c r="C45" s="9">
        <f>'7 JUL'!C48</f>
        <v>8746967.4099999983</v>
      </c>
    </row>
    <row r="46" spans="2:3" x14ac:dyDescent="0.25">
      <c r="B46" s="10" t="str">
        <f>'1-12 ACUMULADO'!$B$46</f>
        <v>( + ) Total Recursos Financeiros Recebidos no mês</v>
      </c>
      <c r="C46" s="7">
        <f>C18</f>
        <v>3075665.63</v>
      </c>
    </row>
    <row r="47" spans="2:3" x14ac:dyDescent="0.25">
      <c r="B47" s="10" t="str">
        <f>'1-12 ACUMULADO'!$B$47</f>
        <v>( - ) Total Despesas e Investimentos Aplicados no mês</v>
      </c>
      <c r="C47" s="7">
        <f>C33+C39</f>
        <v>2080184.8799999997</v>
      </c>
    </row>
    <row r="48" spans="2:3" s="3" customFormat="1" x14ac:dyDescent="0.25">
      <c r="B48" s="8" t="s">
        <v>7</v>
      </c>
      <c r="C48" s="9">
        <f>C45+C46-C47</f>
        <v>9742448.1600000001</v>
      </c>
    </row>
    <row r="49" spans="2:3" x14ac:dyDescent="0.25">
      <c r="B49" s="10"/>
      <c r="C49" s="7"/>
    </row>
    <row r="50" spans="2:3" s="3" customFormat="1" x14ac:dyDescent="0.25">
      <c r="B50" s="8" t="s">
        <v>8</v>
      </c>
      <c r="C50" s="9"/>
    </row>
    <row r="51" spans="2:3" x14ac:dyDescent="0.25">
      <c r="B51" s="10" t="str">
        <f>'1-12 ACUMULADO'!$B$51</f>
        <v>Caixas</v>
      </c>
      <c r="C51" s="7">
        <f>19021.79-4735</f>
        <v>14286.79</v>
      </c>
    </row>
    <row r="52" spans="2:3" x14ac:dyDescent="0.25">
      <c r="B52" s="10" t="str">
        <f>'1-12 ACUMULADO'!$B$52</f>
        <v>Bancos Contas Correntes</v>
      </c>
      <c r="C52" s="7">
        <v>284573.02</v>
      </c>
    </row>
    <row r="53" spans="2:3" x14ac:dyDescent="0.25">
      <c r="B53" s="10" t="str">
        <f>'1-12 ACUMULADO'!$B$53</f>
        <v>Bancos Contas Aplicações</v>
      </c>
      <c r="C53" s="7">
        <v>9438853.3499999996</v>
      </c>
    </row>
    <row r="54" spans="2:3" x14ac:dyDescent="0.25">
      <c r="B54" s="10" t="s">
        <v>53</v>
      </c>
      <c r="C54" s="7">
        <v>4735</v>
      </c>
    </row>
    <row r="55" spans="2:3" s="3" customFormat="1" x14ac:dyDescent="0.25">
      <c r="B55" s="8" t="s">
        <v>11</v>
      </c>
      <c r="C55" s="9">
        <f>SUM(C51:C54)</f>
        <v>9742448.1600000001</v>
      </c>
    </row>
    <row r="56" spans="2:3" x14ac:dyDescent="0.25">
      <c r="B56" s="10"/>
      <c r="C56" s="7"/>
    </row>
    <row r="57" spans="2:3" s="17" customFormat="1" x14ac:dyDescent="0.25">
      <c r="B57" s="15" t="s">
        <v>12</v>
      </c>
      <c r="C57" s="16">
        <f>C48-C45</f>
        <v>995480.75000000186</v>
      </c>
    </row>
    <row r="59" spans="2:3" x14ac:dyDescent="0.25">
      <c r="B59" s="53" t="s">
        <v>54</v>
      </c>
      <c r="C59" s="53"/>
    </row>
    <row r="64" spans="2:3" s="3" customFormat="1" x14ac:dyDescent="0.25">
      <c r="B64" s="1"/>
      <c r="C64" s="5"/>
    </row>
    <row r="65" spans="1:4" x14ac:dyDescent="0.25">
      <c r="B65" s="1"/>
    </row>
    <row r="69" spans="1:4" s="4" customFormat="1" x14ac:dyDescent="0.25">
      <c r="A69" s="2"/>
      <c r="B69" s="1"/>
      <c r="D69" s="2"/>
    </row>
    <row r="72" spans="1:4" s="4" customFormat="1" x14ac:dyDescent="0.25">
      <c r="A72" s="2"/>
      <c r="B72" s="1"/>
      <c r="D72" s="2"/>
    </row>
  </sheetData>
  <mergeCells count="4">
    <mergeCell ref="B3:D3"/>
    <mergeCell ref="B4:D4"/>
    <mergeCell ref="B5:D5"/>
    <mergeCell ref="B59:C59"/>
  </mergeCells>
  <pageMargins left="0.6692913385826772" right="0.51181102362204722" top="0.19685039370078741" bottom="0.27559055118110237" header="0.15748031496062992" footer="0.19685039370078741"/>
  <pageSetup paperSize="9" scale="72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72"/>
  <sheetViews>
    <sheetView showGridLines="0" zoomScaleNormal="100" workbookViewId="0">
      <pane xSplit="2" ySplit="7" topLeftCell="C29" activePane="bottomRight" state="frozen"/>
      <selection pane="topRight" activeCell="C1" sqref="C1"/>
      <selection pane="bottomLeft" activeCell="A8" sqref="A8"/>
      <selection pane="bottomRight" activeCell="C43" sqref="C43"/>
    </sheetView>
  </sheetViews>
  <sheetFormatPr defaultRowHeight="15.75" x14ac:dyDescent="0.25"/>
  <cols>
    <col min="1" max="1" width="10.7109375" style="2" customWidth="1"/>
    <col min="2" max="2" width="58.28515625" style="2" bestFit="1" customWidth="1"/>
    <col min="3" max="3" width="20.7109375" style="4" customWidth="1"/>
    <col min="4" max="4" width="5.7109375" style="2" customWidth="1"/>
    <col min="5" max="16384" width="9.140625" style="2"/>
  </cols>
  <sheetData>
    <row r="3" spans="2:4" x14ac:dyDescent="0.25">
      <c r="B3" s="51"/>
      <c r="C3" s="51"/>
      <c r="D3" s="51"/>
    </row>
    <row r="4" spans="2:4" x14ac:dyDescent="0.25">
      <c r="B4" s="52" t="s">
        <v>13</v>
      </c>
      <c r="C4" s="52"/>
      <c r="D4" s="52"/>
    </row>
    <row r="5" spans="2:4" x14ac:dyDescent="0.25">
      <c r="B5" s="52" t="s">
        <v>14</v>
      </c>
      <c r="C5" s="52"/>
      <c r="D5" s="52"/>
    </row>
    <row r="6" spans="2:4" x14ac:dyDescent="0.25">
      <c r="B6" s="43"/>
      <c r="C6" s="43"/>
      <c r="D6" s="43"/>
    </row>
    <row r="7" spans="2:4" x14ac:dyDescent="0.25">
      <c r="B7" s="44" t="s">
        <v>0</v>
      </c>
      <c r="C7" s="12" t="s">
        <v>56</v>
      </c>
    </row>
    <row r="8" spans="2:4" s="3" customFormat="1" x14ac:dyDescent="0.25">
      <c r="B8" s="8" t="s">
        <v>1</v>
      </c>
      <c r="C8" s="9"/>
    </row>
    <row r="9" spans="2:4" x14ac:dyDescent="0.25">
      <c r="B9" s="10" t="str">
        <f>'1-12 ACUMULADO'!$B$9</f>
        <v>Receita -  Repasse Contrato de Gestão</v>
      </c>
      <c r="C9" s="7">
        <v>1633924</v>
      </c>
    </row>
    <row r="10" spans="2:4" x14ac:dyDescent="0.25">
      <c r="B10" s="10" t="str">
        <f>'1-12 ACUMULADO'!$B$10</f>
        <v>Receita - Cessão Onerosa de Espaço</v>
      </c>
      <c r="C10" s="7">
        <v>13942.73</v>
      </c>
    </row>
    <row r="11" spans="2:4" x14ac:dyDescent="0.25">
      <c r="B11" s="10" t="str">
        <f>'1-12 ACUMULADO'!$B$11</f>
        <v>Receita - Bilheteria</v>
      </c>
      <c r="C11" s="7">
        <v>29174.89</v>
      </c>
    </row>
    <row r="12" spans="2:4" x14ac:dyDescent="0.25">
      <c r="B12" s="10" t="str">
        <f>'1-12 ACUMULADO'!$B$12</f>
        <v>Receita - Comércio (Loja)</v>
      </c>
      <c r="C12" s="7">
        <v>17629.150000000001</v>
      </c>
    </row>
    <row r="13" spans="2:4" x14ac:dyDescent="0.25">
      <c r="B13" s="10" t="str">
        <f>'1-12 ACUMULADO'!$B$13</f>
        <v>Receita - Parceiros</v>
      </c>
      <c r="C13" s="7">
        <v>1308.33</v>
      </c>
    </row>
    <row r="14" spans="2:4" x14ac:dyDescent="0.25">
      <c r="B14" s="10" t="str">
        <f>'1-12 ACUMULADO'!$B$14</f>
        <v>Receita - Doações</v>
      </c>
      <c r="C14" s="7">
        <v>1032</v>
      </c>
    </row>
    <row r="15" spans="2:4" x14ac:dyDescent="0.25">
      <c r="B15" s="10" t="str">
        <f>'1-12 ACUMULADO'!$B$15</f>
        <v>Receita - Demais</v>
      </c>
      <c r="C15" s="7">
        <v>0</v>
      </c>
    </row>
    <row r="16" spans="2:4" x14ac:dyDescent="0.25">
      <c r="B16" s="10" t="str">
        <f>'1-12 ACUMULADO'!$B$16</f>
        <v>Receita - Financeiras</v>
      </c>
      <c r="C16" s="7">
        <v>107851.77</v>
      </c>
    </row>
    <row r="17" spans="2:3" x14ac:dyDescent="0.25">
      <c r="B17" s="10"/>
      <c r="C17" s="7"/>
    </row>
    <row r="18" spans="2:3" s="3" customFormat="1" x14ac:dyDescent="0.25">
      <c r="B18" s="8" t="s">
        <v>2</v>
      </c>
      <c r="C18" s="9">
        <f>SUM(C9:C16)</f>
        <v>1804862.8699999999</v>
      </c>
    </row>
    <row r="21" spans="2:3" s="3" customFormat="1" x14ac:dyDescent="0.25">
      <c r="B21" s="8" t="s">
        <v>24</v>
      </c>
      <c r="C21" s="9"/>
    </row>
    <row r="22" spans="2:3" x14ac:dyDescent="0.25">
      <c r="B22" s="10" t="str">
        <f>'1-12 ACUMULADO'!$B$22</f>
        <v>Despesas RH - CLT (Salários - Encargos Sociais - Benefícios)</v>
      </c>
      <c r="C22" s="7">
        <v>818051.45</v>
      </c>
    </row>
    <row r="23" spans="2:3" x14ac:dyDescent="0.25">
      <c r="B23" s="10" t="str">
        <f>'1-12 ACUMULADO'!$B$23</f>
        <v>Despesas RH - Estágio (Bolsa - Benefícios)</v>
      </c>
      <c r="C23" s="7">
        <v>36075.1</v>
      </c>
    </row>
    <row r="24" spans="2:3" x14ac:dyDescent="0.25">
      <c r="B24" s="10" t="str">
        <f>'1-12 ACUMULADO'!$B$24</f>
        <v>Despesas - Administrativas e Institucionais</v>
      </c>
      <c r="C24" s="7">
        <v>587863.01</v>
      </c>
    </row>
    <row r="25" spans="2:3" x14ac:dyDescent="0.25">
      <c r="B25" s="10" t="str">
        <f>'1-12 ACUMULADO'!$B$25</f>
        <v>Despesas Programas - Edificações</v>
      </c>
      <c r="C25" s="7">
        <v>54425.87</v>
      </c>
    </row>
    <row r="26" spans="2:3" x14ac:dyDescent="0.25">
      <c r="B26" s="10" t="str">
        <f>'1-12 ACUMULADO'!$B$26</f>
        <v>Despesas Programas - Acervos</v>
      </c>
      <c r="C26" s="7">
        <v>18051.939999999999</v>
      </c>
    </row>
    <row r="27" spans="2:3" x14ac:dyDescent="0.25">
      <c r="B27" s="10" t="str">
        <f>'1-12 ACUMULADO'!$B$27</f>
        <v>Despesas Programas - Exposições e Programações Culturais</v>
      </c>
      <c r="C27" s="7">
        <v>121434.49</v>
      </c>
    </row>
    <row r="28" spans="2:3" x14ac:dyDescent="0.25">
      <c r="B28" s="10" t="str">
        <f>'1-12 ACUMULADO'!$B$28</f>
        <v>Despesas Programas - Educativos</v>
      </c>
      <c r="C28" s="7">
        <v>22725.34</v>
      </c>
    </row>
    <row r="29" spans="2:3" x14ac:dyDescent="0.25">
      <c r="B29" s="10" t="str">
        <f>'1-12 ACUMULADO'!$B$29</f>
        <v>Despesas Programas - Conexões Museus - SP</v>
      </c>
      <c r="C29" s="7">
        <v>1845.68</v>
      </c>
    </row>
    <row r="30" spans="2:3" x14ac:dyDescent="0.25">
      <c r="B30" s="10" t="str">
        <f>'1-12 ACUMULADO'!$B$30</f>
        <v>Despesas Programas - Gestão Museológica</v>
      </c>
      <c r="C30" s="7">
        <v>40485.51</v>
      </c>
    </row>
    <row r="31" spans="2:3" x14ac:dyDescent="0.25">
      <c r="B31" s="10" t="str">
        <f>'1-12 ACUMULADO'!$B$31</f>
        <v>Despesas Programas - Comunicação</v>
      </c>
      <c r="C31" s="7">
        <v>51758.83</v>
      </c>
    </row>
    <row r="32" spans="2:3" x14ac:dyDescent="0.25">
      <c r="B32" s="10"/>
      <c r="C32" s="7"/>
    </row>
    <row r="33" spans="2:3" s="3" customFormat="1" x14ac:dyDescent="0.25">
      <c r="B33" s="8" t="s">
        <v>3</v>
      </c>
      <c r="C33" s="9">
        <f>SUM(C22:C31)</f>
        <v>1752717.2200000002</v>
      </c>
    </row>
    <row r="34" spans="2:3" x14ac:dyDescent="0.25">
      <c r="B34" s="10"/>
      <c r="C34" s="7"/>
    </row>
    <row r="35" spans="2:3" x14ac:dyDescent="0.25">
      <c r="B35" s="10"/>
      <c r="C35" s="7"/>
    </row>
    <row r="36" spans="2:3" s="3" customFormat="1" x14ac:dyDescent="0.25">
      <c r="B36" s="8" t="s">
        <v>4</v>
      </c>
      <c r="C36" s="9"/>
    </row>
    <row r="37" spans="2:3" x14ac:dyDescent="0.25">
      <c r="B37" s="10" t="str">
        <f>'1-12 ACUMULADO'!$B$37</f>
        <v>Aquisições de Bens Duráveis (Imobilizado)</v>
      </c>
      <c r="C37" s="7">
        <v>3398</v>
      </c>
    </row>
    <row r="38" spans="2:3" x14ac:dyDescent="0.25">
      <c r="B38" s="10"/>
      <c r="C38" s="7"/>
    </row>
    <row r="39" spans="2:3" s="3" customFormat="1" x14ac:dyDescent="0.25">
      <c r="B39" s="8" t="s">
        <v>5</v>
      </c>
      <c r="C39" s="9">
        <f>C37</f>
        <v>3398</v>
      </c>
    </row>
    <row r="40" spans="2:3" x14ac:dyDescent="0.25">
      <c r="B40" s="10"/>
      <c r="C40" s="7"/>
    </row>
    <row r="41" spans="2:3" s="3" customFormat="1" x14ac:dyDescent="0.25">
      <c r="B41" s="8" t="s">
        <v>33</v>
      </c>
      <c r="C41" s="16">
        <f>C18-(C33+C39)</f>
        <v>48747.649999999674</v>
      </c>
    </row>
    <row r="42" spans="2:3" x14ac:dyDescent="0.25">
      <c r="B42" s="10"/>
      <c r="C42" s="30" t="str">
        <f>IF(C41&gt;=0,"Superávit","Défict")</f>
        <v>Superávit</v>
      </c>
    </row>
    <row r="44" spans="2:3" s="3" customFormat="1" x14ac:dyDescent="0.25">
      <c r="B44" s="8" t="s">
        <v>6</v>
      </c>
      <c r="C44" s="9"/>
    </row>
    <row r="45" spans="2:3" s="3" customFormat="1" x14ac:dyDescent="0.25">
      <c r="B45" s="8" t="s">
        <v>31</v>
      </c>
      <c r="C45" s="9">
        <f>'8 AGO'!C48</f>
        <v>9742448.1600000001</v>
      </c>
    </row>
    <row r="46" spans="2:3" x14ac:dyDescent="0.25">
      <c r="B46" s="10" t="str">
        <f>'1-12 ACUMULADO'!$B$46</f>
        <v>( + ) Total Recursos Financeiros Recebidos no mês</v>
      </c>
      <c r="C46" s="7">
        <f>C18</f>
        <v>1804862.8699999999</v>
      </c>
    </row>
    <row r="47" spans="2:3" x14ac:dyDescent="0.25">
      <c r="B47" s="10" t="str">
        <f>'1-12 ACUMULADO'!$B$47</f>
        <v>( - ) Total Despesas e Investimentos Aplicados no mês</v>
      </c>
      <c r="C47" s="7">
        <f>C33+C39</f>
        <v>1756115.2200000002</v>
      </c>
    </row>
    <row r="48" spans="2:3" s="3" customFormat="1" x14ac:dyDescent="0.25">
      <c r="B48" s="8" t="s">
        <v>7</v>
      </c>
      <c r="C48" s="9">
        <f>C45+C46-C47</f>
        <v>9791195.8099999987</v>
      </c>
    </row>
    <row r="49" spans="2:3" x14ac:dyDescent="0.25">
      <c r="B49" s="10"/>
      <c r="C49" s="7"/>
    </row>
    <row r="50" spans="2:3" s="3" customFormat="1" x14ac:dyDescent="0.25">
      <c r="B50" s="8" t="s">
        <v>8</v>
      </c>
      <c r="C50" s="9"/>
    </row>
    <row r="51" spans="2:3" x14ac:dyDescent="0.25">
      <c r="B51" s="10" t="str">
        <f>'1-12 ACUMULADO'!$B$51</f>
        <v>Caixas</v>
      </c>
      <c r="C51" s="7">
        <v>10574.74</v>
      </c>
    </row>
    <row r="52" spans="2:3" x14ac:dyDescent="0.25">
      <c r="B52" s="10" t="str">
        <f>'1-12 ACUMULADO'!$B$52</f>
        <v>Bancos Contas Correntes</v>
      </c>
      <c r="C52" s="7">
        <v>11785.08</v>
      </c>
    </row>
    <row r="53" spans="2:3" x14ac:dyDescent="0.25">
      <c r="B53" s="10" t="str">
        <f>'1-12 ACUMULADO'!$B$53</f>
        <v>Bancos Contas Aplicações</v>
      </c>
      <c r="C53" s="7">
        <v>9758039.9900000002</v>
      </c>
    </row>
    <row r="54" spans="2:3" x14ac:dyDescent="0.25">
      <c r="B54" s="10" t="s">
        <v>53</v>
      </c>
      <c r="C54" s="7">
        <v>10796</v>
      </c>
    </row>
    <row r="55" spans="2:3" s="3" customFormat="1" x14ac:dyDescent="0.25">
      <c r="B55" s="8" t="s">
        <v>11</v>
      </c>
      <c r="C55" s="9">
        <f>SUM(C51:C54)</f>
        <v>9791195.8100000005</v>
      </c>
    </row>
    <row r="56" spans="2:3" x14ac:dyDescent="0.25">
      <c r="B56" s="10"/>
      <c r="C56" s="7"/>
    </row>
    <row r="57" spans="2:3" s="17" customFormat="1" x14ac:dyDescent="0.25">
      <c r="B57" s="15" t="s">
        <v>12</v>
      </c>
      <c r="C57" s="16">
        <f>C48-C45</f>
        <v>48747.64999999851</v>
      </c>
    </row>
    <row r="59" spans="2:3" x14ac:dyDescent="0.25">
      <c r="B59" s="53" t="s">
        <v>54</v>
      </c>
      <c r="C59" s="53"/>
    </row>
    <row r="64" spans="2:3" s="3" customFormat="1" x14ac:dyDescent="0.25">
      <c r="B64" s="1"/>
      <c r="C64" s="5"/>
    </row>
    <row r="65" spans="1:4" x14ac:dyDescent="0.25">
      <c r="B65" s="1"/>
    </row>
    <row r="69" spans="1:4" s="4" customFormat="1" x14ac:dyDescent="0.25">
      <c r="A69" s="2"/>
      <c r="B69" s="1"/>
      <c r="D69" s="2"/>
    </row>
    <row r="72" spans="1:4" s="4" customFormat="1" x14ac:dyDescent="0.25">
      <c r="A72" s="2"/>
      <c r="B72" s="1"/>
      <c r="D72" s="2"/>
    </row>
  </sheetData>
  <mergeCells count="4">
    <mergeCell ref="B3:D3"/>
    <mergeCell ref="B4:D4"/>
    <mergeCell ref="B5:D5"/>
    <mergeCell ref="B59:C59"/>
  </mergeCells>
  <pageMargins left="0.6692913385826772" right="0.51181102362204722" top="0.19685039370078741" bottom="0.27559055118110237" header="0.15748031496062992" footer="0.19685039370078741"/>
  <pageSetup paperSize="9" scale="72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72"/>
  <sheetViews>
    <sheetView showGridLines="0" zoomScaleNormal="100" workbookViewId="0">
      <pane xSplit="2" ySplit="7" topLeftCell="C29" activePane="bottomRight" state="frozen"/>
      <selection pane="topRight" activeCell="C1" sqref="C1"/>
      <selection pane="bottomLeft" activeCell="A8" sqref="A8"/>
      <selection pane="bottomRight" activeCell="C43" sqref="C43"/>
    </sheetView>
  </sheetViews>
  <sheetFormatPr defaultRowHeight="15.75" x14ac:dyDescent="0.25"/>
  <cols>
    <col min="1" max="1" width="10.7109375" style="2" customWidth="1"/>
    <col min="2" max="2" width="58.28515625" style="2" bestFit="1" customWidth="1"/>
    <col min="3" max="3" width="20.7109375" style="4" customWidth="1"/>
    <col min="4" max="4" width="5.7109375" style="2" customWidth="1"/>
    <col min="5" max="16384" width="9.140625" style="2"/>
  </cols>
  <sheetData>
    <row r="3" spans="2:4" x14ac:dyDescent="0.25">
      <c r="B3" s="51"/>
      <c r="C3" s="51"/>
      <c r="D3" s="51"/>
    </row>
    <row r="4" spans="2:4" x14ac:dyDescent="0.25">
      <c r="B4" s="52" t="s">
        <v>13</v>
      </c>
      <c r="C4" s="52"/>
      <c r="D4" s="52"/>
    </row>
    <row r="5" spans="2:4" x14ac:dyDescent="0.25">
      <c r="B5" s="52" t="s">
        <v>14</v>
      </c>
      <c r="C5" s="52"/>
      <c r="D5" s="52"/>
    </row>
    <row r="6" spans="2:4" x14ac:dyDescent="0.25">
      <c r="B6" s="45"/>
      <c r="C6" s="45"/>
      <c r="D6" s="45"/>
    </row>
    <row r="7" spans="2:4" x14ac:dyDescent="0.25">
      <c r="B7" s="46" t="s">
        <v>0</v>
      </c>
      <c r="C7" s="12" t="s">
        <v>57</v>
      </c>
    </row>
    <row r="8" spans="2:4" s="3" customFormat="1" x14ac:dyDescent="0.25">
      <c r="B8" s="8" t="s">
        <v>1</v>
      </c>
      <c r="C8" s="9"/>
    </row>
    <row r="9" spans="2:4" x14ac:dyDescent="0.25">
      <c r="B9" s="10" t="str">
        <f>'1-12 ACUMULADO'!$B$9</f>
        <v>Receita -  Repasse Contrato de Gestão</v>
      </c>
      <c r="C9" s="7">
        <v>1633924</v>
      </c>
    </row>
    <row r="10" spans="2:4" x14ac:dyDescent="0.25">
      <c r="B10" s="10" t="str">
        <f>'1-12 ACUMULADO'!$B$10</f>
        <v>Receita - Cessão Onerosa de Espaço</v>
      </c>
      <c r="C10" s="7">
        <v>27001</v>
      </c>
    </row>
    <row r="11" spans="2:4" x14ac:dyDescent="0.25">
      <c r="B11" s="10" t="str">
        <f>'1-12 ACUMULADO'!$B$11</f>
        <v>Receita - Bilheteria</v>
      </c>
      <c r="C11" s="7">
        <v>34318.78</v>
      </c>
    </row>
    <row r="12" spans="2:4" x14ac:dyDescent="0.25">
      <c r="B12" s="10" t="str">
        <f>'1-12 ACUMULADO'!$B$12</f>
        <v>Receita - Comércio (Loja)</v>
      </c>
      <c r="C12" s="7">
        <v>10017.790000000001</v>
      </c>
    </row>
    <row r="13" spans="2:4" x14ac:dyDescent="0.25">
      <c r="B13" s="10" t="str">
        <f>'1-12 ACUMULADO'!$B$13</f>
        <v>Receita - Parceiros</v>
      </c>
      <c r="C13" s="7">
        <v>1108.33</v>
      </c>
    </row>
    <row r="14" spans="2:4" x14ac:dyDescent="0.25">
      <c r="B14" s="10" t="str">
        <f>'1-12 ACUMULADO'!$B$14</f>
        <v>Receita - Doações</v>
      </c>
      <c r="C14" s="7">
        <v>107</v>
      </c>
    </row>
    <row r="15" spans="2:4" x14ac:dyDescent="0.25">
      <c r="B15" s="10" t="str">
        <f>'1-12 ACUMULADO'!$B$15</f>
        <v>Receita - Demais</v>
      </c>
      <c r="C15" s="7">
        <v>0</v>
      </c>
    </row>
    <row r="16" spans="2:4" x14ac:dyDescent="0.25">
      <c r="B16" s="10" t="str">
        <f>'1-12 ACUMULADO'!$B$16</f>
        <v>Receita - Financeiras</v>
      </c>
      <c r="C16" s="7">
        <v>111300.09</v>
      </c>
    </row>
    <row r="17" spans="2:3" x14ac:dyDescent="0.25">
      <c r="B17" s="10"/>
      <c r="C17" s="7"/>
    </row>
    <row r="18" spans="2:3" s="3" customFormat="1" x14ac:dyDescent="0.25">
      <c r="B18" s="8" t="s">
        <v>2</v>
      </c>
      <c r="C18" s="9">
        <f>SUM(C9:C16)</f>
        <v>1817776.9900000002</v>
      </c>
    </row>
    <row r="21" spans="2:3" s="3" customFormat="1" x14ac:dyDescent="0.25">
      <c r="B21" s="8" t="s">
        <v>24</v>
      </c>
      <c r="C21" s="9"/>
    </row>
    <row r="22" spans="2:3" x14ac:dyDescent="0.25">
      <c r="B22" s="10" t="str">
        <f>'1-12 ACUMULADO'!$B$22</f>
        <v>Despesas RH - CLT (Salários - Encargos Sociais - Benefícios)</v>
      </c>
      <c r="C22" s="7">
        <v>825147.67</v>
      </c>
    </row>
    <row r="23" spans="2:3" x14ac:dyDescent="0.25">
      <c r="B23" s="10" t="str">
        <f>'1-12 ACUMULADO'!$B$23</f>
        <v>Despesas RH - Estágio (Bolsa - Benefícios)</v>
      </c>
      <c r="C23" s="7">
        <v>32580.2</v>
      </c>
    </row>
    <row r="24" spans="2:3" x14ac:dyDescent="0.25">
      <c r="B24" s="10" t="str">
        <f>'1-12 ACUMULADO'!$B$24</f>
        <v>Despesas - Administrativas e Institucionais</v>
      </c>
      <c r="C24" s="7">
        <v>638746.39</v>
      </c>
    </row>
    <row r="25" spans="2:3" x14ac:dyDescent="0.25">
      <c r="B25" s="10" t="str">
        <f>'1-12 ACUMULADO'!$B$25</f>
        <v>Despesas Programas - Edificações</v>
      </c>
      <c r="C25" s="7">
        <v>81040.7</v>
      </c>
    </row>
    <row r="26" spans="2:3" x14ac:dyDescent="0.25">
      <c r="B26" s="10" t="str">
        <f>'1-12 ACUMULADO'!$B$26</f>
        <v>Despesas Programas - Acervos</v>
      </c>
      <c r="C26" s="7">
        <v>10887.95</v>
      </c>
    </row>
    <row r="27" spans="2:3" x14ac:dyDescent="0.25">
      <c r="B27" s="10" t="str">
        <f>'1-12 ACUMULADO'!$B$27</f>
        <v>Despesas Programas - Exposições e Programações Culturais</v>
      </c>
      <c r="C27" s="7">
        <v>126737.64</v>
      </c>
    </row>
    <row r="28" spans="2:3" x14ac:dyDescent="0.25">
      <c r="B28" s="10" t="str">
        <f>'1-12 ACUMULADO'!$B$28</f>
        <v>Despesas Programas - Educativos</v>
      </c>
      <c r="C28" s="7">
        <v>30078.65</v>
      </c>
    </row>
    <row r="29" spans="2:3" x14ac:dyDescent="0.25">
      <c r="B29" s="10" t="str">
        <f>'1-12 ACUMULADO'!$B$29</f>
        <v>Despesas Programas - Conexões Museus - SP</v>
      </c>
      <c r="C29" s="7">
        <v>0</v>
      </c>
    </row>
    <row r="30" spans="2:3" x14ac:dyDescent="0.25">
      <c r="B30" s="10" t="str">
        <f>'1-12 ACUMULADO'!$B$30</f>
        <v>Despesas Programas - Gestão Museológica</v>
      </c>
      <c r="C30" s="7">
        <v>35354.120000000003</v>
      </c>
    </row>
    <row r="31" spans="2:3" x14ac:dyDescent="0.25">
      <c r="B31" s="10" t="str">
        <f>'1-12 ACUMULADO'!$B$31</f>
        <v>Despesas Programas - Comunicação</v>
      </c>
      <c r="C31" s="7">
        <v>23958.27</v>
      </c>
    </row>
    <row r="32" spans="2:3" x14ac:dyDescent="0.25">
      <c r="B32" s="10"/>
      <c r="C32" s="7"/>
    </row>
    <row r="33" spans="2:3" s="3" customFormat="1" x14ac:dyDescent="0.25">
      <c r="B33" s="8" t="s">
        <v>3</v>
      </c>
      <c r="C33" s="9">
        <f>SUM(C22:C31)</f>
        <v>1804531.5899999999</v>
      </c>
    </row>
    <row r="34" spans="2:3" x14ac:dyDescent="0.25">
      <c r="B34" s="10"/>
      <c r="C34" s="7"/>
    </row>
    <row r="35" spans="2:3" x14ac:dyDescent="0.25">
      <c r="B35" s="10"/>
      <c r="C35" s="7"/>
    </row>
    <row r="36" spans="2:3" s="3" customFormat="1" x14ac:dyDescent="0.25">
      <c r="B36" s="8" t="s">
        <v>4</v>
      </c>
      <c r="C36" s="9"/>
    </row>
    <row r="37" spans="2:3" x14ac:dyDescent="0.25">
      <c r="B37" s="10" t="str">
        <f>'1-12 ACUMULADO'!$B$37</f>
        <v>Aquisições de Bens Duráveis (Imobilizado)</v>
      </c>
      <c r="C37" s="7">
        <v>15669.39</v>
      </c>
    </row>
    <row r="38" spans="2:3" x14ac:dyDescent="0.25">
      <c r="B38" s="10"/>
      <c r="C38" s="7"/>
    </row>
    <row r="39" spans="2:3" s="3" customFormat="1" x14ac:dyDescent="0.25">
      <c r="B39" s="8" t="s">
        <v>5</v>
      </c>
      <c r="C39" s="9">
        <f>C37</f>
        <v>15669.39</v>
      </c>
    </row>
    <row r="40" spans="2:3" x14ac:dyDescent="0.25">
      <c r="B40" s="10"/>
      <c r="C40" s="7"/>
    </row>
    <row r="41" spans="2:3" s="3" customFormat="1" x14ac:dyDescent="0.25">
      <c r="B41" s="8" t="s">
        <v>33</v>
      </c>
      <c r="C41" s="35">
        <f>C18-(C33+C39)</f>
        <v>-2423.989999999525</v>
      </c>
    </row>
    <row r="42" spans="2:3" x14ac:dyDescent="0.25">
      <c r="B42" s="10"/>
      <c r="C42" s="36" t="str">
        <f>IF(C41&gt;=0,"Superávit","Défict")</f>
        <v>Défict</v>
      </c>
    </row>
    <row r="44" spans="2:3" s="3" customFormat="1" x14ac:dyDescent="0.25">
      <c r="B44" s="8" t="s">
        <v>6</v>
      </c>
      <c r="C44" s="9"/>
    </row>
    <row r="45" spans="2:3" s="3" customFormat="1" x14ac:dyDescent="0.25">
      <c r="B45" s="8" t="s">
        <v>31</v>
      </c>
      <c r="C45" s="9">
        <f>'9 SET'!C48</f>
        <v>9791195.8099999987</v>
      </c>
    </row>
    <row r="46" spans="2:3" x14ac:dyDescent="0.25">
      <c r="B46" s="10" t="str">
        <f>'1-12 ACUMULADO'!$B$46</f>
        <v>( + ) Total Recursos Financeiros Recebidos no mês</v>
      </c>
      <c r="C46" s="7">
        <f>C18</f>
        <v>1817776.9900000002</v>
      </c>
    </row>
    <row r="47" spans="2:3" x14ac:dyDescent="0.25">
      <c r="B47" s="10" t="str">
        <f>'1-12 ACUMULADO'!$B$47</f>
        <v>( - ) Total Despesas e Investimentos Aplicados no mês</v>
      </c>
      <c r="C47" s="7">
        <f>C33+C39</f>
        <v>1820200.9799999997</v>
      </c>
    </row>
    <row r="48" spans="2:3" s="3" customFormat="1" x14ac:dyDescent="0.25">
      <c r="B48" s="8" t="s">
        <v>7</v>
      </c>
      <c r="C48" s="9">
        <f>C45+C46-C47</f>
        <v>9788771.8199999984</v>
      </c>
    </row>
    <row r="49" spans="2:3" x14ac:dyDescent="0.25">
      <c r="B49" s="10"/>
      <c r="C49" s="7"/>
    </row>
    <row r="50" spans="2:3" s="3" customFormat="1" x14ac:dyDescent="0.25">
      <c r="B50" s="8" t="s">
        <v>8</v>
      </c>
      <c r="C50" s="9"/>
    </row>
    <row r="51" spans="2:3" x14ac:dyDescent="0.25">
      <c r="B51" s="10" t="str">
        <f>'1-12 ACUMULADO'!$B$51</f>
        <v>Caixas</v>
      </c>
      <c r="C51" s="7">
        <v>14270.25</v>
      </c>
    </row>
    <row r="52" spans="2:3" x14ac:dyDescent="0.25">
      <c r="B52" s="10" t="str">
        <f>'1-12 ACUMULADO'!$B$52</f>
        <v>Bancos Contas Correntes</v>
      </c>
      <c r="C52" s="7">
        <v>22728.85</v>
      </c>
    </row>
    <row r="53" spans="2:3" x14ac:dyDescent="0.25">
      <c r="B53" s="10" t="str">
        <f>'1-12 ACUMULADO'!$B$53</f>
        <v>Bancos Contas Aplicações</v>
      </c>
      <c r="C53" s="7">
        <v>9736483.7200000007</v>
      </c>
    </row>
    <row r="54" spans="2:3" x14ac:dyDescent="0.25">
      <c r="B54" s="10" t="s">
        <v>53</v>
      </c>
      <c r="C54" s="7">
        <v>15289</v>
      </c>
    </row>
    <row r="55" spans="2:3" s="3" customFormat="1" x14ac:dyDescent="0.25">
      <c r="B55" s="8" t="s">
        <v>11</v>
      </c>
      <c r="C55" s="9">
        <f>SUM(C51:C54)</f>
        <v>9788771.8200000003</v>
      </c>
    </row>
    <row r="56" spans="2:3" x14ac:dyDescent="0.25">
      <c r="B56" s="10"/>
      <c r="C56" s="7"/>
    </row>
    <row r="57" spans="2:3" s="38" customFormat="1" x14ac:dyDescent="0.25">
      <c r="B57" s="37" t="s">
        <v>12</v>
      </c>
      <c r="C57" s="35">
        <f>C48-C45</f>
        <v>-2423.9900000002235</v>
      </c>
    </row>
    <row r="59" spans="2:3" x14ac:dyDescent="0.25">
      <c r="B59" s="53" t="s">
        <v>54</v>
      </c>
      <c r="C59" s="53"/>
    </row>
    <row r="64" spans="2:3" s="3" customFormat="1" x14ac:dyDescent="0.25">
      <c r="B64" s="1"/>
      <c r="C64" s="5"/>
    </row>
    <row r="65" spans="1:4" x14ac:dyDescent="0.25">
      <c r="B65" s="1"/>
    </row>
    <row r="69" spans="1:4" s="4" customFormat="1" x14ac:dyDescent="0.25">
      <c r="A69" s="2"/>
      <c r="B69" s="1"/>
      <c r="D69" s="2"/>
    </row>
    <row r="72" spans="1:4" s="4" customFormat="1" x14ac:dyDescent="0.25">
      <c r="A72" s="2"/>
      <c r="B72" s="1"/>
      <c r="D72" s="2"/>
    </row>
  </sheetData>
  <mergeCells count="4">
    <mergeCell ref="B3:D3"/>
    <mergeCell ref="B4:D4"/>
    <mergeCell ref="B5:D5"/>
    <mergeCell ref="B59:C59"/>
  </mergeCells>
  <pageMargins left="0.6692913385826772" right="0.51181102362204722" top="0.19685039370078741" bottom="0.27559055118110237" header="0.15748031496062992" footer="0.19685039370078741"/>
  <pageSetup paperSize="9" scale="72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72"/>
  <sheetViews>
    <sheetView showGridLines="0" zoomScaleNormal="100" workbookViewId="0">
      <pane xSplit="2" ySplit="7" topLeftCell="C26" activePane="bottomRight" state="frozen"/>
      <selection pane="topRight" activeCell="C1" sqref="C1"/>
      <selection pane="bottomLeft" activeCell="A8" sqref="A8"/>
      <selection pane="bottomRight" activeCell="C54" sqref="C54"/>
    </sheetView>
  </sheetViews>
  <sheetFormatPr defaultRowHeight="15.75" x14ac:dyDescent="0.25"/>
  <cols>
    <col min="1" max="1" width="10.7109375" style="2" customWidth="1"/>
    <col min="2" max="2" width="58.28515625" style="2" bestFit="1" customWidth="1"/>
    <col min="3" max="3" width="20.7109375" style="4" customWidth="1"/>
    <col min="4" max="4" width="5.7109375" style="2" customWidth="1"/>
    <col min="5" max="16384" width="9.140625" style="2"/>
  </cols>
  <sheetData>
    <row r="3" spans="2:4" x14ac:dyDescent="0.25">
      <c r="B3" s="51"/>
      <c r="C3" s="51"/>
      <c r="D3" s="51"/>
    </row>
    <row r="4" spans="2:4" x14ac:dyDescent="0.25">
      <c r="B4" s="52" t="s">
        <v>13</v>
      </c>
      <c r="C4" s="52"/>
      <c r="D4" s="52"/>
    </row>
    <row r="5" spans="2:4" x14ac:dyDescent="0.25">
      <c r="B5" s="52" t="s">
        <v>14</v>
      </c>
      <c r="C5" s="52"/>
      <c r="D5" s="52"/>
    </row>
    <row r="6" spans="2:4" x14ac:dyDescent="0.25">
      <c r="B6" s="47"/>
      <c r="C6" s="47"/>
      <c r="D6" s="47"/>
    </row>
    <row r="7" spans="2:4" x14ac:dyDescent="0.25">
      <c r="B7" s="48" t="s">
        <v>0</v>
      </c>
      <c r="C7" s="12" t="s">
        <v>58</v>
      </c>
    </row>
    <row r="8" spans="2:4" s="3" customFormat="1" x14ac:dyDescent="0.25">
      <c r="B8" s="8" t="s">
        <v>1</v>
      </c>
      <c r="C8" s="9"/>
    </row>
    <row r="9" spans="2:4" x14ac:dyDescent="0.25">
      <c r="B9" s="10" t="str">
        <f>'1-12 ACUMULADO'!$B$9</f>
        <v>Receita -  Repasse Contrato de Gestão</v>
      </c>
      <c r="C9" s="7">
        <v>1633924</v>
      </c>
    </row>
    <row r="10" spans="2:4" x14ac:dyDescent="0.25">
      <c r="B10" s="10" t="str">
        <f>'1-12 ACUMULADO'!$B$10</f>
        <v>Receita - Cessão Onerosa de Espaço</v>
      </c>
      <c r="C10" s="7">
        <v>4501</v>
      </c>
    </row>
    <row r="11" spans="2:4" x14ac:dyDescent="0.25">
      <c r="B11" s="10" t="str">
        <f>'1-12 ACUMULADO'!$B$11</f>
        <v>Receita - Bilheteria</v>
      </c>
      <c r="C11" s="7">
        <v>22334.61</v>
      </c>
    </row>
    <row r="12" spans="2:4" x14ac:dyDescent="0.25">
      <c r="B12" s="10" t="str">
        <f>'1-12 ACUMULADO'!$B$12</f>
        <v>Receita - Comércio (Loja)</v>
      </c>
      <c r="C12" s="7">
        <v>10215.75</v>
      </c>
    </row>
    <row r="13" spans="2:4" x14ac:dyDescent="0.25">
      <c r="B13" s="10" t="str">
        <f>'1-12 ACUMULADO'!$B$13</f>
        <v>Receita - Parceiros</v>
      </c>
      <c r="C13" s="7">
        <v>1108.33</v>
      </c>
    </row>
    <row r="14" spans="2:4" x14ac:dyDescent="0.25">
      <c r="B14" s="10" t="str">
        <f>'1-12 ACUMULADO'!$B$14</f>
        <v>Receita - Doações</v>
      </c>
      <c r="C14" s="7">
        <v>85.73</v>
      </c>
    </row>
    <row r="15" spans="2:4" x14ac:dyDescent="0.25">
      <c r="B15" s="10" t="str">
        <f>'1-12 ACUMULADO'!$B$15</f>
        <v>Receita - Demais</v>
      </c>
      <c r="C15" s="7">
        <v>0</v>
      </c>
    </row>
    <row r="16" spans="2:4" x14ac:dyDescent="0.25">
      <c r="B16" s="10" t="str">
        <f>'1-12 ACUMULADO'!$B$16</f>
        <v>Receita - Financeiras</v>
      </c>
      <c r="C16" s="7">
        <v>93718.65</v>
      </c>
    </row>
    <row r="17" spans="2:3" x14ac:dyDescent="0.25">
      <c r="B17" s="10"/>
      <c r="C17" s="7"/>
    </row>
    <row r="18" spans="2:3" s="3" customFormat="1" x14ac:dyDescent="0.25">
      <c r="B18" s="8" t="s">
        <v>2</v>
      </c>
      <c r="C18" s="9">
        <f>SUM(C9:C16)</f>
        <v>1765888.07</v>
      </c>
    </row>
    <row r="21" spans="2:3" s="3" customFormat="1" x14ac:dyDescent="0.25">
      <c r="B21" s="8" t="s">
        <v>24</v>
      </c>
      <c r="C21" s="9"/>
    </row>
    <row r="22" spans="2:3" x14ac:dyDescent="0.25">
      <c r="B22" s="10" t="str">
        <f>'1-12 ACUMULADO'!$B$22</f>
        <v>Despesas RH - CLT (Salários - Encargos Sociais - Benefícios)</v>
      </c>
      <c r="C22" s="7">
        <v>818198.99</v>
      </c>
    </row>
    <row r="23" spans="2:3" x14ac:dyDescent="0.25">
      <c r="B23" s="10" t="str">
        <f>'1-12 ACUMULADO'!$B$23</f>
        <v>Despesas RH - Estágio (Bolsa - Benefícios)</v>
      </c>
      <c r="C23" s="7">
        <v>37333.699999999997</v>
      </c>
    </row>
    <row r="24" spans="2:3" x14ac:dyDescent="0.25">
      <c r="B24" s="10" t="str">
        <f>'1-12 ACUMULADO'!$B$24</f>
        <v>Despesas - Administrativas e Institucionais</v>
      </c>
      <c r="C24" s="7">
        <v>666292.80000000005</v>
      </c>
    </row>
    <row r="25" spans="2:3" x14ac:dyDescent="0.25">
      <c r="B25" s="10" t="str">
        <f>'1-12 ACUMULADO'!$B$25</f>
        <v>Despesas Programas - Edificações</v>
      </c>
      <c r="C25" s="7">
        <v>52173.09</v>
      </c>
    </row>
    <row r="26" spans="2:3" x14ac:dyDescent="0.25">
      <c r="B26" s="10" t="str">
        <f>'1-12 ACUMULADO'!$B$26</f>
        <v>Despesas Programas - Acervos</v>
      </c>
      <c r="C26" s="7">
        <v>46005.43</v>
      </c>
    </row>
    <row r="27" spans="2:3" x14ac:dyDescent="0.25">
      <c r="B27" s="10" t="str">
        <f>'1-12 ACUMULADO'!$B$27</f>
        <v>Despesas Programas - Exposições e Programações Culturais</v>
      </c>
      <c r="C27" s="7">
        <v>204807.17</v>
      </c>
    </row>
    <row r="28" spans="2:3" x14ac:dyDescent="0.25">
      <c r="B28" s="10" t="str">
        <f>'1-12 ACUMULADO'!$B$28</f>
        <v>Despesas Programas - Educativos</v>
      </c>
      <c r="C28" s="7">
        <v>39686.410000000003</v>
      </c>
    </row>
    <row r="29" spans="2:3" x14ac:dyDescent="0.25">
      <c r="B29" s="10" t="str">
        <f>'1-12 ACUMULADO'!$B$29</f>
        <v>Despesas Programas - Conexões Museus - SP</v>
      </c>
      <c r="C29" s="7">
        <v>0</v>
      </c>
    </row>
    <row r="30" spans="2:3" x14ac:dyDescent="0.25">
      <c r="B30" s="10" t="str">
        <f>'1-12 ACUMULADO'!$B$30</f>
        <v>Despesas Programas - Gestão Museológica</v>
      </c>
      <c r="C30" s="7">
        <v>90225.49</v>
      </c>
    </row>
    <row r="31" spans="2:3" x14ac:dyDescent="0.25">
      <c r="B31" s="10" t="str">
        <f>'1-12 ACUMULADO'!$B$31</f>
        <v>Despesas Programas - Comunicação</v>
      </c>
      <c r="C31" s="7">
        <v>23886.07</v>
      </c>
    </row>
    <row r="32" spans="2:3" x14ac:dyDescent="0.25">
      <c r="B32" s="10"/>
      <c r="C32" s="7"/>
    </row>
    <row r="33" spans="2:3" s="3" customFormat="1" x14ac:dyDescent="0.25">
      <c r="B33" s="8" t="s">
        <v>3</v>
      </c>
      <c r="C33" s="9">
        <f>SUM(C22:C31)</f>
        <v>1978609.15</v>
      </c>
    </row>
    <row r="34" spans="2:3" x14ac:dyDescent="0.25">
      <c r="B34" s="10"/>
      <c r="C34" s="7"/>
    </row>
    <row r="35" spans="2:3" x14ac:dyDescent="0.25">
      <c r="B35" s="10"/>
      <c r="C35" s="7"/>
    </row>
    <row r="36" spans="2:3" s="3" customFormat="1" x14ac:dyDescent="0.25">
      <c r="B36" s="8" t="s">
        <v>4</v>
      </c>
      <c r="C36" s="9"/>
    </row>
    <row r="37" spans="2:3" x14ac:dyDescent="0.25">
      <c r="B37" s="10" t="str">
        <f>'1-12 ACUMULADO'!$B$37</f>
        <v>Aquisições de Bens Duráveis (Imobilizado)</v>
      </c>
      <c r="C37" s="7">
        <v>9258.6299999999992</v>
      </c>
    </row>
    <row r="38" spans="2:3" x14ac:dyDescent="0.25">
      <c r="B38" s="10"/>
      <c r="C38" s="7"/>
    </row>
    <row r="39" spans="2:3" s="3" customFormat="1" x14ac:dyDescent="0.25">
      <c r="B39" s="8" t="s">
        <v>5</v>
      </c>
      <c r="C39" s="9">
        <f>C37</f>
        <v>9258.6299999999992</v>
      </c>
    </row>
    <row r="40" spans="2:3" x14ac:dyDescent="0.25">
      <c r="B40" s="10"/>
      <c r="C40" s="7"/>
    </row>
    <row r="41" spans="2:3" s="3" customFormat="1" x14ac:dyDescent="0.25">
      <c r="B41" s="8" t="s">
        <v>33</v>
      </c>
      <c r="C41" s="35">
        <f>C18-(C33+C39)</f>
        <v>-221979.70999999973</v>
      </c>
    </row>
    <row r="42" spans="2:3" x14ac:dyDescent="0.25">
      <c r="B42" s="10"/>
      <c r="C42" s="36" t="str">
        <f>IF(C41&gt;=0,"Superávit","Défict")</f>
        <v>Défict</v>
      </c>
    </row>
    <row r="44" spans="2:3" s="3" customFormat="1" x14ac:dyDescent="0.25">
      <c r="B44" s="8" t="s">
        <v>6</v>
      </c>
      <c r="C44" s="9"/>
    </row>
    <row r="45" spans="2:3" s="3" customFormat="1" x14ac:dyDescent="0.25">
      <c r="B45" s="8" t="s">
        <v>31</v>
      </c>
      <c r="C45" s="9">
        <f>'10 OUT'!C48</f>
        <v>9788771.8199999984</v>
      </c>
    </row>
    <row r="46" spans="2:3" x14ac:dyDescent="0.25">
      <c r="B46" s="10" t="str">
        <f>'1-12 ACUMULADO'!$B$46</f>
        <v>( + ) Total Recursos Financeiros Recebidos no mês</v>
      </c>
      <c r="C46" s="7">
        <f>C18</f>
        <v>1765888.07</v>
      </c>
    </row>
    <row r="47" spans="2:3" x14ac:dyDescent="0.25">
      <c r="B47" s="10" t="str">
        <f>'1-12 ACUMULADO'!$B$47</f>
        <v>( - ) Total Despesas e Investimentos Aplicados no mês</v>
      </c>
      <c r="C47" s="7">
        <f>C33+C39</f>
        <v>1987867.7799999998</v>
      </c>
    </row>
    <row r="48" spans="2:3" s="3" customFormat="1" x14ac:dyDescent="0.25">
      <c r="B48" s="8" t="s">
        <v>7</v>
      </c>
      <c r="C48" s="9">
        <f>C45+C46-C47</f>
        <v>9566792.1099999994</v>
      </c>
    </row>
    <row r="49" spans="2:3" x14ac:dyDescent="0.25">
      <c r="B49" s="10"/>
      <c r="C49" s="7"/>
    </row>
    <row r="50" spans="2:3" s="3" customFormat="1" x14ac:dyDescent="0.25">
      <c r="B50" s="8" t="s">
        <v>8</v>
      </c>
      <c r="C50" s="9"/>
    </row>
    <row r="51" spans="2:3" x14ac:dyDescent="0.25">
      <c r="B51" s="10" t="str">
        <f>'1-12 ACUMULADO'!$B$51</f>
        <v>Caixas</v>
      </c>
      <c r="C51" s="7">
        <v>14181.36</v>
      </c>
    </row>
    <row r="52" spans="2:3" x14ac:dyDescent="0.25">
      <c r="B52" s="10" t="str">
        <f>'1-12 ACUMULADO'!$B$52</f>
        <v>Bancos Contas Correntes</v>
      </c>
      <c r="C52" s="7">
        <v>52412.639999999999</v>
      </c>
    </row>
    <row r="53" spans="2:3" x14ac:dyDescent="0.25">
      <c r="B53" s="10" t="str">
        <f>'1-12 ACUMULADO'!$B$53</f>
        <v>Bancos Contas Aplicações</v>
      </c>
      <c r="C53" s="7">
        <v>9482963.1099999994</v>
      </c>
    </row>
    <row r="54" spans="2:3" x14ac:dyDescent="0.25">
      <c r="B54" s="10" t="s">
        <v>53</v>
      </c>
      <c r="C54" s="7">
        <v>17235</v>
      </c>
    </row>
    <row r="55" spans="2:3" s="3" customFormat="1" x14ac:dyDescent="0.25">
      <c r="B55" s="8" t="s">
        <v>11</v>
      </c>
      <c r="C55" s="9">
        <f>SUM(C51:C54)</f>
        <v>9566792.1099999994</v>
      </c>
    </row>
    <row r="56" spans="2:3" x14ac:dyDescent="0.25">
      <c r="B56" s="10"/>
      <c r="C56" s="7"/>
    </row>
    <row r="57" spans="2:3" s="38" customFormat="1" x14ac:dyDescent="0.25">
      <c r="B57" s="37" t="s">
        <v>12</v>
      </c>
      <c r="C57" s="35">
        <f>C48-C45</f>
        <v>-221979.70999999903</v>
      </c>
    </row>
    <row r="59" spans="2:3" x14ac:dyDescent="0.25">
      <c r="B59" s="53" t="s">
        <v>54</v>
      </c>
      <c r="C59" s="53"/>
    </row>
    <row r="64" spans="2:3" s="3" customFormat="1" x14ac:dyDescent="0.25">
      <c r="B64" s="1"/>
      <c r="C64" s="5"/>
    </row>
    <row r="65" spans="1:4" x14ac:dyDescent="0.25">
      <c r="B65" s="1"/>
    </row>
    <row r="69" spans="1:4" s="4" customFormat="1" x14ac:dyDescent="0.25">
      <c r="A69" s="2"/>
      <c r="B69" s="1"/>
      <c r="D69" s="2"/>
    </row>
    <row r="72" spans="1:4" s="4" customFormat="1" x14ac:dyDescent="0.25">
      <c r="A72" s="2"/>
      <c r="B72" s="1"/>
      <c r="D72" s="2"/>
    </row>
  </sheetData>
  <mergeCells count="4">
    <mergeCell ref="B3:D3"/>
    <mergeCell ref="B4:D4"/>
    <mergeCell ref="B5:D5"/>
    <mergeCell ref="B59:C59"/>
  </mergeCells>
  <pageMargins left="0.6692913385826772" right="0.51181102362204722" top="0.19685039370078741" bottom="0.27559055118110237" header="0.15748031496062992" footer="0.19685039370078741"/>
  <pageSetup paperSize="9" scale="72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72"/>
  <sheetViews>
    <sheetView showGridLines="0" zoomScaleNormal="100" workbookViewId="0">
      <pane xSplit="2" ySplit="7" topLeftCell="C26" activePane="bottomRight" state="frozen"/>
      <selection pane="topRight" activeCell="C1" sqref="C1"/>
      <selection pane="bottomLeft" activeCell="A8" sqref="A8"/>
      <selection pane="bottomRight" activeCell="C43" sqref="C43"/>
    </sheetView>
  </sheetViews>
  <sheetFormatPr defaultRowHeight="15.75" x14ac:dyDescent="0.25"/>
  <cols>
    <col min="1" max="1" width="10.7109375" style="2" customWidth="1"/>
    <col min="2" max="2" width="58.28515625" style="2" bestFit="1" customWidth="1"/>
    <col min="3" max="3" width="20.7109375" style="4" customWidth="1"/>
    <col min="4" max="4" width="5.7109375" style="2" customWidth="1"/>
    <col min="5" max="16384" width="9.140625" style="2"/>
  </cols>
  <sheetData>
    <row r="3" spans="2:4" x14ac:dyDescent="0.25">
      <c r="B3" s="51"/>
      <c r="C3" s="51"/>
      <c r="D3" s="51"/>
    </row>
    <row r="4" spans="2:4" x14ac:dyDescent="0.25">
      <c r="B4" s="52" t="s">
        <v>13</v>
      </c>
      <c r="C4" s="52"/>
      <c r="D4" s="52"/>
    </row>
    <row r="5" spans="2:4" x14ac:dyDescent="0.25">
      <c r="B5" s="52" t="s">
        <v>14</v>
      </c>
      <c r="C5" s="52"/>
      <c r="D5" s="52"/>
    </row>
    <row r="6" spans="2:4" x14ac:dyDescent="0.25">
      <c r="B6" s="49"/>
      <c r="C6" s="49"/>
      <c r="D6" s="49"/>
    </row>
    <row r="7" spans="2:4" x14ac:dyDescent="0.25">
      <c r="B7" s="50" t="s">
        <v>0</v>
      </c>
      <c r="C7" s="12" t="s">
        <v>59</v>
      </c>
    </row>
    <row r="8" spans="2:4" s="3" customFormat="1" x14ac:dyDescent="0.25">
      <c r="B8" s="8" t="s">
        <v>1</v>
      </c>
      <c r="C8" s="9"/>
    </row>
    <row r="9" spans="2:4" x14ac:dyDescent="0.25">
      <c r="B9" s="10" t="str">
        <f>'1-12 ACUMULADO'!$B$9</f>
        <v>Receita -  Repasse Contrato de Gestão</v>
      </c>
      <c r="C9" s="7">
        <v>1633925</v>
      </c>
    </row>
    <row r="10" spans="2:4" x14ac:dyDescent="0.25">
      <c r="B10" s="10" t="str">
        <f>'1-12 ACUMULADO'!$B$10</f>
        <v>Receita - Cessão Onerosa de Espaço</v>
      </c>
      <c r="C10" s="7">
        <v>14001</v>
      </c>
    </row>
    <row r="11" spans="2:4" x14ac:dyDescent="0.25">
      <c r="B11" s="10" t="str">
        <f>'1-12 ACUMULADO'!$B$11</f>
        <v>Receita - Bilheteria</v>
      </c>
      <c r="C11" s="7">
        <v>22174.16</v>
      </c>
    </row>
    <row r="12" spans="2:4" x14ac:dyDescent="0.25">
      <c r="B12" s="10" t="str">
        <f>'1-12 ACUMULADO'!$B$12</f>
        <v>Receita - Comércio (Loja)</v>
      </c>
      <c r="C12" s="7">
        <v>13509.56</v>
      </c>
    </row>
    <row r="13" spans="2:4" x14ac:dyDescent="0.25">
      <c r="B13" s="10" t="str">
        <f>'1-12 ACUMULADO'!$B$13</f>
        <v>Receita - Parceiros</v>
      </c>
      <c r="C13" s="7">
        <v>1141.67</v>
      </c>
    </row>
    <row r="14" spans="2:4" x14ac:dyDescent="0.25">
      <c r="B14" s="10" t="str">
        <f>'1-12 ACUMULADO'!$B$14</f>
        <v>Receita - Doações</v>
      </c>
      <c r="C14" s="7">
        <v>4.5</v>
      </c>
    </row>
    <row r="15" spans="2:4" x14ac:dyDescent="0.25">
      <c r="B15" s="10" t="str">
        <f>'1-12 ACUMULADO'!$B$15</f>
        <v>Receita - Demais</v>
      </c>
      <c r="C15" s="7">
        <v>0</v>
      </c>
    </row>
    <row r="16" spans="2:4" x14ac:dyDescent="0.25">
      <c r="B16" s="10" t="str">
        <f>'1-12 ACUMULADO'!$B$16</f>
        <v>Receita - Financeiras</v>
      </c>
      <c r="C16" s="7">
        <v>102663.5</v>
      </c>
    </row>
    <row r="17" spans="2:3" x14ac:dyDescent="0.25">
      <c r="B17" s="10"/>
      <c r="C17" s="7"/>
    </row>
    <row r="18" spans="2:3" s="3" customFormat="1" x14ac:dyDescent="0.25">
      <c r="B18" s="8" t="s">
        <v>2</v>
      </c>
      <c r="C18" s="9">
        <f>SUM(C9:C16)</f>
        <v>1787419.39</v>
      </c>
    </row>
    <row r="21" spans="2:3" s="3" customFormat="1" x14ac:dyDescent="0.25">
      <c r="B21" s="8" t="s">
        <v>24</v>
      </c>
      <c r="C21" s="9"/>
    </row>
    <row r="22" spans="2:3" x14ac:dyDescent="0.25">
      <c r="B22" s="10" t="str">
        <f>'1-12 ACUMULADO'!$B$22</f>
        <v>Despesas RH - CLT (Salários - Encargos Sociais - Benefícios)</v>
      </c>
      <c r="C22" s="7">
        <v>1167678.67</v>
      </c>
    </row>
    <row r="23" spans="2:3" x14ac:dyDescent="0.25">
      <c r="B23" s="10" t="str">
        <f>'1-12 ACUMULADO'!$B$23</f>
        <v>Despesas RH - Estágio (Bolsa - Benefícios)</v>
      </c>
      <c r="C23" s="7">
        <v>40545.21</v>
      </c>
    </row>
    <row r="24" spans="2:3" x14ac:dyDescent="0.25">
      <c r="B24" s="10" t="str">
        <f>'1-12 ACUMULADO'!$B$24</f>
        <v>Despesas - Administrativas e Institucionais</v>
      </c>
      <c r="C24" s="7">
        <v>890450.39</v>
      </c>
    </row>
    <row r="25" spans="2:3" x14ac:dyDescent="0.25">
      <c r="B25" s="10" t="str">
        <f>'1-12 ACUMULADO'!$B$25</f>
        <v>Despesas Programas - Edificações</v>
      </c>
      <c r="C25" s="7">
        <v>104458.82</v>
      </c>
    </row>
    <row r="26" spans="2:3" x14ac:dyDescent="0.25">
      <c r="B26" s="10" t="str">
        <f>'1-12 ACUMULADO'!$B$26</f>
        <v>Despesas Programas - Acervos</v>
      </c>
      <c r="C26" s="7">
        <v>76584.899999999994</v>
      </c>
    </row>
    <row r="27" spans="2:3" x14ac:dyDescent="0.25">
      <c r="B27" s="10" t="str">
        <f>'1-12 ACUMULADO'!$B$27</f>
        <v>Despesas Programas - Exposições e Programações Culturais</v>
      </c>
      <c r="C27" s="7">
        <v>254289.02</v>
      </c>
    </row>
    <row r="28" spans="2:3" x14ac:dyDescent="0.25">
      <c r="B28" s="10" t="str">
        <f>'1-12 ACUMULADO'!$B$28</f>
        <v>Despesas Programas - Educativos</v>
      </c>
      <c r="C28" s="7">
        <v>49198.31</v>
      </c>
    </row>
    <row r="29" spans="2:3" x14ac:dyDescent="0.25">
      <c r="B29" s="10" t="str">
        <f>'1-12 ACUMULADO'!$B$29</f>
        <v>Despesas Programas - Conexões Museus - SP</v>
      </c>
      <c r="C29" s="7">
        <v>3100</v>
      </c>
    </row>
    <row r="30" spans="2:3" x14ac:dyDescent="0.25">
      <c r="B30" s="10" t="str">
        <f>'1-12 ACUMULADO'!$B$30</f>
        <v>Despesas Programas - Gestão Museológica</v>
      </c>
      <c r="C30" s="7">
        <v>174956.31</v>
      </c>
    </row>
    <row r="31" spans="2:3" x14ac:dyDescent="0.25">
      <c r="B31" s="10" t="str">
        <f>'1-12 ACUMULADO'!$B$31</f>
        <v>Despesas Programas - Comunicação</v>
      </c>
      <c r="C31" s="7">
        <v>38821.96</v>
      </c>
    </row>
    <row r="32" spans="2:3" x14ac:dyDescent="0.25">
      <c r="B32" s="10"/>
      <c r="C32" s="7"/>
    </row>
    <row r="33" spans="2:3" s="3" customFormat="1" x14ac:dyDescent="0.25">
      <c r="B33" s="8" t="s">
        <v>3</v>
      </c>
      <c r="C33" s="9">
        <f>SUM(C22:C31)</f>
        <v>2800083.59</v>
      </c>
    </row>
    <row r="34" spans="2:3" x14ac:dyDescent="0.25">
      <c r="B34" s="10"/>
      <c r="C34" s="7"/>
    </row>
    <row r="35" spans="2:3" x14ac:dyDescent="0.25">
      <c r="B35" s="10"/>
      <c r="C35" s="7"/>
    </row>
    <row r="36" spans="2:3" s="3" customFormat="1" x14ac:dyDescent="0.25">
      <c r="B36" s="8" t="s">
        <v>4</v>
      </c>
      <c r="C36" s="9"/>
    </row>
    <row r="37" spans="2:3" x14ac:dyDescent="0.25">
      <c r="B37" s="10" t="str">
        <f>'1-12 ACUMULADO'!$B$37</f>
        <v>Aquisições de Bens Duráveis (Imobilizado)</v>
      </c>
      <c r="C37" s="7">
        <v>20148.439999999999</v>
      </c>
    </row>
    <row r="38" spans="2:3" x14ac:dyDescent="0.25">
      <c r="B38" s="10"/>
      <c r="C38" s="7"/>
    </row>
    <row r="39" spans="2:3" s="3" customFormat="1" x14ac:dyDescent="0.25">
      <c r="B39" s="8" t="s">
        <v>5</v>
      </c>
      <c r="C39" s="9">
        <f>C37</f>
        <v>20148.439999999999</v>
      </c>
    </row>
    <row r="40" spans="2:3" x14ac:dyDescent="0.25">
      <c r="B40" s="10"/>
      <c r="C40" s="7"/>
    </row>
    <row r="41" spans="2:3" s="3" customFormat="1" x14ac:dyDescent="0.25">
      <c r="B41" s="8" t="s">
        <v>33</v>
      </c>
      <c r="C41" s="35">
        <f>C18-(C33+C39)</f>
        <v>-1032812.6399999999</v>
      </c>
    </row>
    <row r="42" spans="2:3" x14ac:dyDescent="0.25">
      <c r="B42" s="10"/>
      <c r="C42" s="36" t="str">
        <f>IF(C41&gt;=0,"Superávit","Défict")</f>
        <v>Défict</v>
      </c>
    </row>
    <row r="44" spans="2:3" s="3" customFormat="1" x14ac:dyDescent="0.25">
      <c r="B44" s="8" t="s">
        <v>6</v>
      </c>
      <c r="C44" s="9"/>
    </row>
    <row r="45" spans="2:3" s="3" customFormat="1" x14ac:dyDescent="0.25">
      <c r="B45" s="8" t="s">
        <v>31</v>
      </c>
      <c r="C45" s="9">
        <f>'11 NOV'!C48</f>
        <v>9566792.1099999994</v>
      </c>
    </row>
    <row r="46" spans="2:3" x14ac:dyDescent="0.25">
      <c r="B46" s="10" t="str">
        <f>'1-12 ACUMULADO'!$B$46</f>
        <v>( + ) Total Recursos Financeiros Recebidos no mês</v>
      </c>
      <c r="C46" s="7">
        <f>C18</f>
        <v>1787419.39</v>
      </c>
    </row>
    <row r="47" spans="2:3" x14ac:dyDescent="0.25">
      <c r="B47" s="10" t="str">
        <f>'1-12 ACUMULADO'!$B$47</f>
        <v>( - ) Total Despesas e Investimentos Aplicados no mês</v>
      </c>
      <c r="C47" s="7">
        <f>C33+C39</f>
        <v>2820232.03</v>
      </c>
    </row>
    <row r="48" spans="2:3" s="3" customFormat="1" x14ac:dyDescent="0.25">
      <c r="B48" s="8" t="s">
        <v>7</v>
      </c>
      <c r="C48" s="9">
        <f>C45+C46-C47</f>
        <v>8533979.4700000007</v>
      </c>
    </row>
    <row r="49" spans="2:3" x14ac:dyDescent="0.25">
      <c r="B49" s="10"/>
      <c r="C49" s="7"/>
    </row>
    <row r="50" spans="2:3" s="3" customFormat="1" x14ac:dyDescent="0.25">
      <c r="B50" s="8" t="s">
        <v>8</v>
      </c>
      <c r="C50" s="9"/>
    </row>
    <row r="51" spans="2:3" x14ac:dyDescent="0.25">
      <c r="B51" s="10" t="str">
        <f>'1-12 ACUMULADO'!$B$51</f>
        <v>Caixas</v>
      </c>
      <c r="C51" s="7">
        <v>5547.84</v>
      </c>
    </row>
    <row r="52" spans="2:3" x14ac:dyDescent="0.25">
      <c r="B52" s="10" t="str">
        <f>'1-12 ACUMULADO'!$B$52</f>
        <v>Bancos Contas Correntes</v>
      </c>
      <c r="C52" s="7">
        <v>25846.66</v>
      </c>
    </row>
    <row r="53" spans="2:3" x14ac:dyDescent="0.25">
      <c r="B53" s="10" t="str">
        <f>'1-12 ACUMULADO'!$B$53</f>
        <v>Bancos Contas Aplicações</v>
      </c>
      <c r="C53" s="7">
        <v>8480453.9700000007</v>
      </c>
    </row>
    <row r="54" spans="2:3" x14ac:dyDescent="0.25">
      <c r="B54" s="10" t="s">
        <v>53</v>
      </c>
      <c r="C54" s="7">
        <v>22131</v>
      </c>
    </row>
    <row r="55" spans="2:3" s="3" customFormat="1" x14ac:dyDescent="0.25">
      <c r="B55" s="8" t="s">
        <v>11</v>
      </c>
      <c r="C55" s="9">
        <f>SUM(C51:C54)</f>
        <v>8533979.4700000007</v>
      </c>
    </row>
    <row r="56" spans="2:3" x14ac:dyDescent="0.25">
      <c r="B56" s="10"/>
      <c r="C56" s="7"/>
    </row>
    <row r="57" spans="2:3" s="38" customFormat="1" x14ac:dyDescent="0.25">
      <c r="B57" s="37" t="s">
        <v>12</v>
      </c>
      <c r="C57" s="35">
        <f>C48-C45</f>
        <v>-1032812.6399999987</v>
      </c>
    </row>
    <row r="59" spans="2:3" x14ac:dyDescent="0.25">
      <c r="B59" s="53" t="s">
        <v>54</v>
      </c>
      <c r="C59" s="53"/>
    </row>
    <row r="64" spans="2:3" s="3" customFormat="1" x14ac:dyDescent="0.25">
      <c r="B64" s="1"/>
      <c r="C64" s="5"/>
    </row>
    <row r="65" spans="1:4" x14ac:dyDescent="0.25">
      <c r="B65" s="1"/>
    </row>
    <row r="69" spans="1:4" s="4" customFormat="1" x14ac:dyDescent="0.25">
      <c r="A69" s="2"/>
      <c r="B69" s="1"/>
      <c r="D69" s="2"/>
    </row>
    <row r="72" spans="1:4" s="4" customFormat="1" x14ac:dyDescent="0.25">
      <c r="A72" s="2"/>
      <c r="B72" s="1"/>
      <c r="D72" s="2"/>
    </row>
  </sheetData>
  <mergeCells count="4">
    <mergeCell ref="B3:D3"/>
    <mergeCell ref="B4:D4"/>
    <mergeCell ref="B5:D5"/>
    <mergeCell ref="B59:C59"/>
  </mergeCells>
  <pageMargins left="0.6692913385826772" right="0.51181102362204722" top="0.19685039370078741" bottom="0.27559055118110237" header="0.15748031496062992" footer="0.19685039370078741"/>
  <pageSetup paperSize="9" scale="7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L43"/>
  <sheetViews>
    <sheetView showGridLines="0" zoomScaleNormal="100" workbookViewId="0">
      <selection activeCell="D6" sqref="D6:I6"/>
    </sheetView>
  </sheetViews>
  <sheetFormatPr defaultRowHeight="15.75" x14ac:dyDescent="0.25"/>
  <cols>
    <col min="1" max="1" width="1.7109375" style="2" customWidth="1"/>
    <col min="2" max="2" width="11.28515625" style="2" customWidth="1"/>
    <col min="3" max="3" width="9.140625" style="2"/>
    <col min="4" max="4" width="19.28515625" style="2" customWidth="1"/>
    <col min="5" max="5" width="58.5703125" style="2" customWidth="1"/>
    <col min="6" max="13" width="9.140625" style="2"/>
    <col min="14" max="14" width="1.7109375" style="2" customWidth="1"/>
    <col min="15" max="16384" width="9.140625" style="2"/>
  </cols>
  <sheetData>
    <row r="4" spans="2:12" x14ac:dyDescent="0.25">
      <c r="D4" s="52" t="str">
        <f>'1-12 ACUMULADO'!$B$4</f>
        <v>Associação Cultural de Apoio ao Museu Casa de Portinari - Organização Social de Cultura</v>
      </c>
      <c r="E4" s="52"/>
      <c r="F4" s="52"/>
      <c r="G4" s="52"/>
      <c r="H4" s="52"/>
      <c r="I4" s="52"/>
    </row>
    <row r="5" spans="2:12" x14ac:dyDescent="0.25">
      <c r="D5" s="52" t="str">
        <f>'1-12 ACUMULADO'!$B$5</f>
        <v>Contrato de Gestão n.º 04/2021</v>
      </c>
      <c r="E5" s="52"/>
      <c r="F5" s="52"/>
      <c r="G5" s="52"/>
      <c r="H5" s="52"/>
      <c r="I5" s="52"/>
    </row>
    <row r="6" spans="2:12" x14ac:dyDescent="0.25">
      <c r="D6" s="52" t="s">
        <v>39</v>
      </c>
      <c r="E6" s="52"/>
      <c r="F6" s="52"/>
      <c r="G6" s="52"/>
      <c r="H6" s="52"/>
      <c r="I6" s="52"/>
    </row>
    <row r="7" spans="2:12" x14ac:dyDescent="0.25">
      <c r="D7" s="14"/>
      <c r="E7" s="14"/>
      <c r="F7" s="14"/>
      <c r="G7" s="14"/>
      <c r="H7" s="14"/>
      <c r="I7" s="14"/>
    </row>
    <row r="8" spans="2:12" x14ac:dyDescent="0.25">
      <c r="F8" s="54" t="s">
        <v>38</v>
      </c>
      <c r="G8" s="54"/>
      <c r="H8" s="54"/>
      <c r="I8" s="54"/>
      <c r="J8" s="54"/>
      <c r="K8" s="54"/>
      <c r="L8" s="54"/>
    </row>
    <row r="9" spans="2:12" x14ac:dyDescent="0.25">
      <c r="B9" s="8" t="s">
        <v>37</v>
      </c>
      <c r="C9" s="21">
        <f>SUM(C10:C17)</f>
        <v>1.0000000000000002</v>
      </c>
      <c r="D9" s="22">
        <f>SUM(D10:D17)</f>
        <v>22174479.649999995</v>
      </c>
      <c r="E9" s="8" t="str">
        <f>'1-12 ACUMULADO'!B8</f>
        <v>1 - Receitas - Origem Recursos</v>
      </c>
    </row>
    <row r="10" spans="2:12" x14ac:dyDescent="0.25">
      <c r="B10" s="10">
        <v>1</v>
      </c>
      <c r="C10" s="23">
        <f>D10/$D$9</f>
        <v>0.90700175685971529</v>
      </c>
      <c r="D10" s="24">
        <f>'1-12 ACUMULADO'!C9</f>
        <v>20112292</v>
      </c>
      <c r="E10" s="10" t="str">
        <f>'1-12 ACUMULADO'!B9</f>
        <v>Receita -  Repasse Contrato de Gestão</v>
      </c>
    </row>
    <row r="11" spans="2:12" x14ac:dyDescent="0.25">
      <c r="B11" s="10">
        <v>2</v>
      </c>
      <c r="C11" s="23">
        <f t="shared" ref="C11:C17" si="0">D11/$D$9</f>
        <v>1.0782510966384731E-2</v>
      </c>
      <c r="D11" s="24">
        <f>'1-12 ACUMULADO'!C10</f>
        <v>239096.57</v>
      </c>
      <c r="E11" s="10" t="str">
        <f>'1-12 ACUMULADO'!B10</f>
        <v>Receita - Cessão Onerosa de Espaço</v>
      </c>
    </row>
    <row r="12" spans="2:12" x14ac:dyDescent="0.25">
      <c r="B12" s="10">
        <v>3</v>
      </c>
      <c r="C12" s="23">
        <f t="shared" si="0"/>
        <v>2.1468289561419319E-2</v>
      </c>
      <c r="D12" s="24">
        <f>'1-12 ACUMULADO'!C11</f>
        <v>476048.14999999997</v>
      </c>
      <c r="E12" s="10" t="str">
        <f>'1-12 ACUMULADO'!B11</f>
        <v>Receita - Bilheteria</v>
      </c>
    </row>
    <row r="13" spans="2:12" x14ac:dyDescent="0.25">
      <c r="B13" s="10">
        <v>4</v>
      </c>
      <c r="C13" s="23">
        <f t="shared" si="0"/>
        <v>7.3167592908995284E-3</v>
      </c>
      <c r="D13" s="24">
        <f>'1-12 ACUMULADO'!C12</f>
        <v>162245.32999999999</v>
      </c>
      <c r="E13" s="10" t="str">
        <f>'1-12 ACUMULADO'!B12</f>
        <v>Receita - Comércio (Loja)</v>
      </c>
    </row>
    <row r="14" spans="2:12" x14ac:dyDescent="0.25">
      <c r="B14" s="10">
        <v>5</v>
      </c>
      <c r="C14" s="23">
        <f t="shared" si="0"/>
        <v>6.2346536280502996E-4</v>
      </c>
      <c r="D14" s="24">
        <f>'1-12 ACUMULADO'!C13</f>
        <v>13825.02</v>
      </c>
      <c r="E14" s="10" t="str">
        <f>'1-12 ACUMULADO'!B13</f>
        <v>Receita - Parceiros</v>
      </c>
    </row>
    <row r="15" spans="2:12" x14ac:dyDescent="0.25">
      <c r="B15" s="10">
        <v>6</v>
      </c>
      <c r="C15" s="23">
        <f t="shared" si="0"/>
        <v>6.4634662126107677E-5</v>
      </c>
      <c r="D15" s="24">
        <f>'1-12 ACUMULADO'!C14</f>
        <v>1433.24</v>
      </c>
      <c r="E15" s="10" t="str">
        <f>'1-12 ACUMULADO'!B14</f>
        <v>Receita - Doações</v>
      </c>
    </row>
    <row r="16" spans="2:12" x14ac:dyDescent="0.25">
      <c r="B16" s="10">
        <v>7</v>
      </c>
      <c r="C16" s="23">
        <f t="shared" si="0"/>
        <v>9.6084734957918192E-4</v>
      </c>
      <c r="D16" s="24">
        <f>'1-12 ACUMULADO'!C15</f>
        <v>21306.29</v>
      </c>
      <c r="E16" s="10" t="str">
        <f>'1-12 ACUMULADO'!B15</f>
        <v>Receita - Demais</v>
      </c>
    </row>
    <row r="17" spans="2:12" x14ac:dyDescent="0.25">
      <c r="B17" s="10">
        <v>8</v>
      </c>
      <c r="C17" s="23">
        <f t="shared" si="0"/>
        <v>5.1781735947071042E-2</v>
      </c>
      <c r="D17" s="24">
        <f>'1-12 ACUMULADO'!C16</f>
        <v>1148233.05</v>
      </c>
      <c r="E17" s="10" t="str">
        <f>'1-12 ACUMULADO'!B16</f>
        <v>Receita - Financeiras</v>
      </c>
    </row>
    <row r="18" spans="2:12" x14ac:dyDescent="0.25">
      <c r="C18" s="19"/>
      <c r="D18" s="18"/>
    </row>
    <row r="19" spans="2:12" x14ac:dyDescent="0.25">
      <c r="C19" s="19"/>
      <c r="D19" s="18"/>
    </row>
    <row r="20" spans="2:12" x14ac:dyDescent="0.25">
      <c r="C20" s="19"/>
      <c r="D20" s="18"/>
    </row>
    <row r="21" spans="2:12" x14ac:dyDescent="0.25">
      <c r="C21" s="19"/>
      <c r="D21" s="18"/>
    </row>
    <row r="22" spans="2:12" x14ac:dyDescent="0.25">
      <c r="C22" s="19"/>
      <c r="D22" s="18"/>
    </row>
    <row r="23" spans="2:12" x14ac:dyDescent="0.25">
      <c r="C23" s="19"/>
      <c r="D23" s="18"/>
    </row>
    <row r="24" spans="2:12" x14ac:dyDescent="0.25">
      <c r="C24" s="19"/>
      <c r="D24" s="18"/>
    </row>
    <row r="26" spans="2:12" x14ac:dyDescent="0.25">
      <c r="F26" s="20"/>
      <c r="G26" s="20"/>
      <c r="H26" s="20"/>
      <c r="I26" s="20"/>
      <c r="J26" s="20"/>
      <c r="K26" s="20"/>
      <c r="L26" s="20"/>
    </row>
    <row r="27" spans="2:12" x14ac:dyDescent="0.25">
      <c r="B27" s="8" t="s">
        <v>37</v>
      </c>
      <c r="C27" s="25">
        <f>SUM(C28:C38)</f>
        <v>1.0000000000000002</v>
      </c>
      <c r="D27" s="22">
        <f>SUM(D28:D38)</f>
        <v>22869066.209999993</v>
      </c>
      <c r="E27" s="8" t="str">
        <f>'1-12 ACUMULADO'!B21</f>
        <v>2 - Despesas - Aplicações de Recursos</v>
      </c>
      <c r="F27" s="54" t="s">
        <v>41</v>
      </c>
      <c r="G27" s="54"/>
      <c r="H27" s="54"/>
      <c r="I27" s="54"/>
      <c r="J27" s="54"/>
      <c r="K27" s="54"/>
      <c r="L27" s="54"/>
    </row>
    <row r="28" spans="2:12" x14ac:dyDescent="0.25">
      <c r="B28" s="10">
        <v>1</v>
      </c>
      <c r="C28" s="23">
        <f t="shared" ref="C28:C38" si="1">D28/$D$27</f>
        <v>0.44936083159820467</v>
      </c>
      <c r="D28" s="24">
        <f>'1-12 ACUMULADO'!C22</f>
        <v>10276462.609999999</v>
      </c>
      <c r="E28" s="10" t="str">
        <f>'1-12 ACUMULADO'!B22</f>
        <v>Despesas RH - CLT (Salários - Encargos Sociais - Benefícios)</v>
      </c>
    </row>
    <row r="29" spans="2:12" x14ac:dyDescent="0.25">
      <c r="B29" s="10">
        <v>2</v>
      </c>
      <c r="C29" s="23">
        <f t="shared" si="1"/>
        <v>1.8540026344171408E-2</v>
      </c>
      <c r="D29" s="24">
        <f>'1-12 ACUMULADO'!C23</f>
        <v>423993.09</v>
      </c>
      <c r="E29" s="10" t="str">
        <f>'1-12 ACUMULADO'!B23</f>
        <v>Despesas RH - Estágio (Bolsa - Benefícios)</v>
      </c>
    </row>
    <row r="30" spans="2:12" x14ac:dyDescent="0.25">
      <c r="B30" s="10">
        <v>3</v>
      </c>
      <c r="C30" s="23">
        <f t="shared" si="1"/>
        <v>0.34478725661969217</v>
      </c>
      <c r="D30" s="24">
        <f>'1-12 ACUMULADO'!C24</f>
        <v>7884962.5999999987</v>
      </c>
      <c r="E30" s="10" t="str">
        <f>'1-12 ACUMULADO'!B24</f>
        <v>Despesas - Administrativas e Institucionais</v>
      </c>
    </row>
    <row r="31" spans="2:12" x14ac:dyDescent="0.25">
      <c r="B31" s="10">
        <v>4</v>
      </c>
      <c r="C31" s="23">
        <f t="shared" si="1"/>
        <v>4.2441561500031186E-2</v>
      </c>
      <c r="D31" s="24">
        <f>'1-12 ACUMULADO'!C25</f>
        <v>970598.87999999989</v>
      </c>
      <c r="E31" s="10" t="str">
        <f>'1-12 ACUMULADO'!B25</f>
        <v>Despesas Programas - Edificações</v>
      </c>
    </row>
    <row r="32" spans="2:12" x14ac:dyDescent="0.25">
      <c r="B32" s="10">
        <v>5</v>
      </c>
      <c r="C32" s="23">
        <f t="shared" si="1"/>
        <v>1.0267069842026579E-2</v>
      </c>
      <c r="D32" s="24">
        <f>'1-12 ACUMULADO'!C26</f>
        <v>234798.3</v>
      </c>
      <c r="E32" s="10" t="str">
        <f>'1-12 ACUMULADO'!B26</f>
        <v>Despesas Programas - Acervos</v>
      </c>
    </row>
    <row r="33" spans="2:5" x14ac:dyDescent="0.25">
      <c r="B33" s="10">
        <v>6</v>
      </c>
      <c r="C33" s="23">
        <f t="shared" si="1"/>
        <v>8.3846388059409985E-2</v>
      </c>
      <c r="D33" s="24">
        <f>'1-12 ACUMULADO'!C27</f>
        <v>1917488.5999999999</v>
      </c>
      <c r="E33" s="10" t="str">
        <f>'1-12 ACUMULADO'!B27</f>
        <v>Despesas Programas - Exposições e Programações Culturais</v>
      </c>
    </row>
    <row r="34" spans="2:5" x14ac:dyDescent="0.25">
      <c r="B34" s="10">
        <v>7</v>
      </c>
      <c r="C34" s="23">
        <f t="shared" si="1"/>
        <v>1.0097470437993895E-2</v>
      </c>
      <c r="D34" s="24">
        <f>'1-12 ACUMULADO'!C28</f>
        <v>230919.72000000003</v>
      </c>
      <c r="E34" s="10" t="str">
        <f>'1-12 ACUMULADO'!B28</f>
        <v>Despesas Programas - Educativos</v>
      </c>
    </row>
    <row r="35" spans="2:5" x14ac:dyDescent="0.25">
      <c r="B35" s="10">
        <v>8</v>
      </c>
      <c r="C35" s="23">
        <f t="shared" si="1"/>
        <v>5.0490692947274493E-4</v>
      </c>
      <c r="D35" s="24">
        <f>'1-12 ACUMULADO'!C29</f>
        <v>11546.75</v>
      </c>
      <c r="E35" s="10" t="str">
        <f>'1-12 ACUMULADO'!B29</f>
        <v>Despesas Programas - Conexões Museus - SP</v>
      </c>
    </row>
    <row r="36" spans="2:5" x14ac:dyDescent="0.25">
      <c r="B36" s="10">
        <v>9</v>
      </c>
      <c r="C36" s="23">
        <f t="shared" si="1"/>
        <v>1.9128381368222036E-2</v>
      </c>
      <c r="D36" s="24">
        <f>'1-12 ACUMULADO'!C30</f>
        <v>437448.22</v>
      </c>
      <c r="E36" s="10" t="str">
        <f>'1-12 ACUMULADO'!B30</f>
        <v>Despesas Programas - Gestão Museológica</v>
      </c>
    </row>
    <row r="37" spans="2:5" x14ac:dyDescent="0.25">
      <c r="B37" s="10">
        <v>10</v>
      </c>
      <c r="C37" s="23">
        <f t="shared" si="1"/>
        <v>1.5281562298647093E-2</v>
      </c>
      <c r="D37" s="24">
        <f>'1-12 ACUMULADO'!C31</f>
        <v>349475.06000000006</v>
      </c>
      <c r="E37" s="10" t="str">
        <f>'1-12 ACUMULADO'!B31</f>
        <v>Despesas Programas - Comunicação</v>
      </c>
    </row>
    <row r="38" spans="2:5" x14ac:dyDescent="0.25">
      <c r="B38" s="10">
        <v>11</v>
      </c>
      <c r="C38" s="23">
        <f t="shared" si="1"/>
        <v>5.7445450021284469E-3</v>
      </c>
      <c r="D38" s="24">
        <f>'1-12 ACUMULADO'!C37</f>
        <v>131372.38</v>
      </c>
      <c r="E38" s="10" t="str">
        <f>'1-12 ACUMULADO'!B37</f>
        <v>Aquisições de Bens Duráveis (Imobilizado)</v>
      </c>
    </row>
    <row r="43" spans="2:5" ht="18" x14ac:dyDescent="0.4">
      <c r="D43" s="55">
        <f>D9-D27</f>
        <v>-694586.55999999866</v>
      </c>
      <c r="E43" s="37" t="str">
        <f>IF(D43&gt;0,"Variação Financeira Positiva","Variação Financeira Negativa")</f>
        <v>Variação Financeira Negativa</v>
      </c>
    </row>
  </sheetData>
  <mergeCells count="5">
    <mergeCell ref="F8:L8"/>
    <mergeCell ref="F27:L27"/>
    <mergeCell ref="D4:I4"/>
    <mergeCell ref="D5:I5"/>
    <mergeCell ref="D6:I6"/>
  </mergeCells>
  <pageMargins left="0.19685039370078741" right="0.23622047244094491" top="0.27559055118110237" bottom="0.23622047244094491" header="0.19685039370078741" footer="0.15748031496062992"/>
  <pageSetup paperSize="9" scale="7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D72"/>
  <sheetViews>
    <sheetView showGridLines="0" zoomScaleNormal="100" workbookViewId="0">
      <pane xSplit="2" ySplit="7" topLeftCell="C27" activePane="bottomRight" state="frozen"/>
      <selection pane="topRight" activeCell="C1" sqref="C1"/>
      <selection pane="bottomLeft" activeCell="A8" sqref="A8"/>
      <selection pane="bottomRight" activeCell="C43" sqref="C43"/>
    </sheetView>
  </sheetViews>
  <sheetFormatPr defaultRowHeight="15.75" x14ac:dyDescent="0.25"/>
  <cols>
    <col min="1" max="1" width="10.7109375" style="2" customWidth="1"/>
    <col min="2" max="2" width="58.28515625" style="2" bestFit="1" customWidth="1"/>
    <col min="3" max="3" width="20.7109375" style="4" customWidth="1"/>
    <col min="4" max="4" width="5.7109375" style="2" customWidth="1"/>
    <col min="5" max="16384" width="9.140625" style="2"/>
  </cols>
  <sheetData>
    <row r="3" spans="2:4" x14ac:dyDescent="0.25">
      <c r="B3" s="51"/>
      <c r="C3" s="51"/>
      <c r="D3" s="51"/>
    </row>
    <row r="4" spans="2:4" x14ac:dyDescent="0.25">
      <c r="B4" s="52" t="s">
        <v>13</v>
      </c>
      <c r="C4" s="52"/>
      <c r="D4" s="52"/>
    </row>
    <row r="5" spans="2:4" x14ac:dyDescent="0.25">
      <c r="B5" s="52" t="s">
        <v>14</v>
      </c>
      <c r="C5" s="52"/>
      <c r="D5" s="52"/>
    </row>
    <row r="6" spans="2:4" x14ac:dyDescent="0.25">
      <c r="B6" s="11"/>
      <c r="C6" s="11"/>
      <c r="D6" s="11"/>
    </row>
    <row r="7" spans="2:4" x14ac:dyDescent="0.25">
      <c r="B7" s="6" t="s">
        <v>0</v>
      </c>
      <c r="C7" s="12" t="s">
        <v>15</v>
      </c>
    </row>
    <row r="8" spans="2:4" s="3" customFormat="1" x14ac:dyDescent="0.25">
      <c r="B8" s="8" t="s">
        <v>1</v>
      </c>
      <c r="C8" s="9"/>
    </row>
    <row r="9" spans="2:4" x14ac:dyDescent="0.25">
      <c r="B9" s="10" t="str">
        <f>'1-12 ACUMULADO'!$B$9</f>
        <v>Receita -  Repasse Contrato de Gestão</v>
      </c>
      <c r="C9" s="7">
        <v>1525665</v>
      </c>
    </row>
    <row r="10" spans="2:4" x14ac:dyDescent="0.25">
      <c r="B10" s="10" t="str">
        <f>'1-12 ACUMULADO'!$B$10</f>
        <v>Receita - Cessão Onerosa de Espaço</v>
      </c>
      <c r="C10" s="7">
        <v>10081</v>
      </c>
    </row>
    <row r="11" spans="2:4" x14ac:dyDescent="0.25">
      <c r="B11" s="10" t="str">
        <f>'1-12 ACUMULADO'!$B$11</f>
        <v>Receita - Bilheteria</v>
      </c>
      <c r="C11" s="7">
        <v>48707.05</v>
      </c>
    </row>
    <row r="12" spans="2:4" x14ac:dyDescent="0.25">
      <c r="B12" s="10" t="str">
        <f>'1-12 ACUMULADO'!$B$12</f>
        <v>Receita - Comércio (Loja)</v>
      </c>
      <c r="C12" s="7">
        <v>14684.45</v>
      </c>
    </row>
    <row r="13" spans="2:4" x14ac:dyDescent="0.25">
      <c r="B13" s="10" t="str">
        <f>'1-12 ACUMULADO'!$B$13</f>
        <v>Receita - Parceiros</v>
      </c>
      <c r="C13" s="7">
        <v>716.67</v>
      </c>
    </row>
    <row r="14" spans="2:4" x14ac:dyDescent="0.25">
      <c r="B14" s="10" t="str">
        <f>'1-12 ACUMULADO'!$B$14</f>
        <v>Receita - Doações</v>
      </c>
      <c r="C14" s="7">
        <v>49.11</v>
      </c>
    </row>
    <row r="15" spans="2:4" x14ac:dyDescent="0.25">
      <c r="B15" s="10" t="str">
        <f>'1-12 ACUMULADO'!$B$15</f>
        <v>Receita - Demais</v>
      </c>
      <c r="C15" s="7">
        <v>11417</v>
      </c>
    </row>
    <row r="16" spans="2:4" x14ac:dyDescent="0.25">
      <c r="B16" s="10" t="str">
        <f>'1-12 ACUMULADO'!$B$16</f>
        <v>Receita - Financeiras</v>
      </c>
      <c r="C16" s="7">
        <v>88254.77</v>
      </c>
    </row>
    <row r="17" spans="2:3" x14ac:dyDescent="0.25">
      <c r="B17" s="10"/>
      <c r="C17" s="7"/>
    </row>
    <row r="18" spans="2:3" s="3" customFormat="1" x14ac:dyDescent="0.25">
      <c r="B18" s="8" t="s">
        <v>2</v>
      </c>
      <c r="C18" s="9">
        <f>SUM(C9:C16)</f>
        <v>1699575.05</v>
      </c>
    </row>
    <row r="21" spans="2:3" s="3" customFormat="1" x14ac:dyDescent="0.25">
      <c r="B21" s="8" t="s">
        <v>24</v>
      </c>
      <c r="C21" s="9"/>
    </row>
    <row r="22" spans="2:3" x14ac:dyDescent="0.25">
      <c r="B22" s="10" t="str">
        <f>'1-12 ACUMULADO'!$B$22</f>
        <v>Despesas RH - CLT (Salários - Encargos Sociais - Benefícios)</v>
      </c>
      <c r="C22" s="7">
        <v>841096.53</v>
      </c>
    </row>
    <row r="23" spans="2:3" x14ac:dyDescent="0.25">
      <c r="B23" s="10" t="str">
        <f>'1-12 ACUMULADO'!$B$23</f>
        <v>Despesas RH - Estágio (Bolsa - Benefícios)</v>
      </c>
      <c r="C23" s="7">
        <v>44973.45</v>
      </c>
    </row>
    <row r="24" spans="2:3" x14ac:dyDescent="0.25">
      <c r="B24" s="10" t="str">
        <f>'1-12 ACUMULADO'!$B$24</f>
        <v>Despesas - Administrativas e Institucionais</v>
      </c>
      <c r="C24" s="7">
        <v>534687.46</v>
      </c>
    </row>
    <row r="25" spans="2:3" x14ac:dyDescent="0.25">
      <c r="B25" s="10" t="str">
        <f>'1-12 ACUMULADO'!$B$25</f>
        <v>Despesas Programas - Edificações</v>
      </c>
      <c r="C25" s="7">
        <v>104803.73</v>
      </c>
    </row>
    <row r="26" spans="2:3" x14ac:dyDescent="0.25">
      <c r="B26" s="10" t="str">
        <f>'1-12 ACUMULADO'!$B$26</f>
        <v>Despesas Programas - Acervos</v>
      </c>
      <c r="C26" s="7">
        <v>7443.53</v>
      </c>
    </row>
    <row r="27" spans="2:3" x14ac:dyDescent="0.25">
      <c r="B27" s="10" t="str">
        <f>'1-12 ACUMULADO'!$B$27</f>
        <v>Despesas Programas - Exposições e Programações Culturais</v>
      </c>
      <c r="C27" s="7">
        <v>36288.120000000003</v>
      </c>
    </row>
    <row r="28" spans="2:3" x14ac:dyDescent="0.25">
      <c r="B28" s="10" t="str">
        <f>'1-12 ACUMULADO'!$B$28</f>
        <v>Despesas Programas - Educativos</v>
      </c>
      <c r="C28" s="7">
        <v>10347.59</v>
      </c>
    </row>
    <row r="29" spans="2:3" x14ac:dyDescent="0.25">
      <c r="B29" s="10" t="str">
        <f>'1-12 ACUMULADO'!$B$29</f>
        <v>Despesas Programas - Conexões Museus - SP</v>
      </c>
      <c r="C29" s="7">
        <v>240</v>
      </c>
    </row>
    <row r="30" spans="2:3" x14ac:dyDescent="0.25">
      <c r="B30" s="10" t="str">
        <f>'1-12 ACUMULADO'!$B$30</f>
        <v>Despesas Programas - Gestão Museológica</v>
      </c>
      <c r="C30" s="7">
        <v>11476.57</v>
      </c>
    </row>
    <row r="31" spans="2:3" x14ac:dyDescent="0.25">
      <c r="B31" s="10" t="str">
        <f>'1-12 ACUMULADO'!$B$31</f>
        <v>Despesas Programas - Comunicação</v>
      </c>
      <c r="C31" s="7">
        <v>25656.1</v>
      </c>
    </row>
    <row r="32" spans="2:3" x14ac:dyDescent="0.25">
      <c r="B32" s="10"/>
      <c r="C32" s="7"/>
    </row>
    <row r="33" spans="2:3" s="3" customFormat="1" x14ac:dyDescent="0.25">
      <c r="B33" s="8" t="s">
        <v>3</v>
      </c>
      <c r="C33" s="9">
        <f>SUM(C22:C31)</f>
        <v>1617013.0800000003</v>
      </c>
    </row>
    <row r="34" spans="2:3" x14ac:dyDescent="0.25">
      <c r="B34" s="10"/>
      <c r="C34" s="7"/>
    </row>
    <row r="35" spans="2:3" x14ac:dyDescent="0.25">
      <c r="B35" s="10"/>
      <c r="C35" s="7"/>
    </row>
    <row r="36" spans="2:3" s="3" customFormat="1" x14ac:dyDescent="0.25">
      <c r="B36" s="8" t="s">
        <v>4</v>
      </c>
      <c r="C36" s="9"/>
    </row>
    <row r="37" spans="2:3" x14ac:dyDescent="0.25">
      <c r="B37" s="10" t="str">
        <f>'1-12 ACUMULADO'!$B$37</f>
        <v>Aquisições de Bens Duráveis (Imobilizado)</v>
      </c>
      <c r="C37" s="7">
        <v>11413.88</v>
      </c>
    </row>
    <row r="38" spans="2:3" x14ac:dyDescent="0.25">
      <c r="B38" s="10"/>
      <c r="C38" s="7"/>
    </row>
    <row r="39" spans="2:3" s="3" customFormat="1" x14ac:dyDescent="0.25">
      <c r="B39" s="8" t="s">
        <v>5</v>
      </c>
      <c r="C39" s="9">
        <f>C37</f>
        <v>11413.88</v>
      </c>
    </row>
    <row r="40" spans="2:3" x14ac:dyDescent="0.25">
      <c r="B40" s="10"/>
      <c r="C40" s="7"/>
    </row>
    <row r="41" spans="2:3" s="3" customFormat="1" x14ac:dyDescent="0.25">
      <c r="B41" s="8" t="s">
        <v>33</v>
      </c>
      <c r="C41" s="16">
        <f>C18-(C33+C39)</f>
        <v>71148.089999999851</v>
      </c>
    </row>
    <row r="42" spans="2:3" x14ac:dyDescent="0.25">
      <c r="B42" s="10"/>
      <c r="C42" s="30" t="str">
        <f>IF(C41&gt;=0,"Superávit","Défict")</f>
        <v>Superávit</v>
      </c>
    </row>
    <row r="44" spans="2:3" s="3" customFormat="1" x14ac:dyDescent="0.25">
      <c r="B44" s="8" t="s">
        <v>6</v>
      </c>
      <c r="C44" s="9"/>
    </row>
    <row r="45" spans="2:3" s="3" customFormat="1" x14ac:dyDescent="0.25">
      <c r="B45" s="8" t="s">
        <v>31</v>
      </c>
      <c r="C45" s="9">
        <v>9228566.0299999993</v>
      </c>
    </row>
    <row r="46" spans="2:3" x14ac:dyDescent="0.25">
      <c r="B46" s="10" t="str">
        <f>'1-12 ACUMULADO'!$B$46</f>
        <v>( + ) Total Recursos Financeiros Recebidos no mês</v>
      </c>
      <c r="C46" s="7">
        <f>C18</f>
        <v>1699575.05</v>
      </c>
    </row>
    <row r="47" spans="2:3" x14ac:dyDescent="0.25">
      <c r="B47" s="10" t="str">
        <f>'1-12 ACUMULADO'!$B$47</f>
        <v>( - ) Total Despesas e Investimentos Aplicados no mês</v>
      </c>
      <c r="C47" s="7">
        <f>C33+C39</f>
        <v>1628426.9600000002</v>
      </c>
    </row>
    <row r="48" spans="2:3" s="3" customFormat="1" x14ac:dyDescent="0.25">
      <c r="B48" s="8" t="s">
        <v>7</v>
      </c>
      <c r="C48" s="9">
        <f>C45+C46-C47</f>
        <v>9299714.1199999992</v>
      </c>
    </row>
    <row r="49" spans="2:3" x14ac:dyDescent="0.25">
      <c r="B49" s="10"/>
      <c r="C49" s="7"/>
    </row>
    <row r="50" spans="2:3" s="3" customFormat="1" x14ac:dyDescent="0.25">
      <c r="B50" s="8" t="s">
        <v>8</v>
      </c>
      <c r="C50" s="9"/>
    </row>
    <row r="51" spans="2:3" x14ac:dyDescent="0.25">
      <c r="B51" s="10" t="str">
        <f>'1-12 ACUMULADO'!$B$51</f>
        <v>Caixas</v>
      </c>
      <c r="C51" s="7">
        <v>12437.03</v>
      </c>
    </row>
    <row r="52" spans="2:3" x14ac:dyDescent="0.25">
      <c r="B52" s="10" t="str">
        <f>'1-12 ACUMULADO'!$B$52</f>
        <v>Bancos Contas Correntes</v>
      </c>
      <c r="C52" s="7">
        <v>1225443.49</v>
      </c>
    </row>
    <row r="53" spans="2:3" x14ac:dyDescent="0.25">
      <c r="B53" s="10" t="str">
        <f>'1-12 ACUMULADO'!$B$53</f>
        <v>Bancos Contas Aplicações</v>
      </c>
      <c r="C53" s="7">
        <v>8061833.5999999996</v>
      </c>
    </row>
    <row r="54" spans="2:3" x14ac:dyDescent="0.25">
      <c r="B54" s="10" t="s">
        <v>55</v>
      </c>
      <c r="C54" s="7">
        <v>0</v>
      </c>
    </row>
    <row r="55" spans="2:3" s="3" customFormat="1" x14ac:dyDescent="0.25">
      <c r="B55" s="8" t="s">
        <v>11</v>
      </c>
      <c r="C55" s="9">
        <f>SUM(C51:C54)</f>
        <v>9299714.1199999992</v>
      </c>
    </row>
    <row r="56" spans="2:3" x14ac:dyDescent="0.25">
      <c r="B56" s="10"/>
      <c r="C56" s="7"/>
    </row>
    <row r="57" spans="2:3" s="3" customFormat="1" x14ac:dyDescent="0.25">
      <c r="B57" s="15" t="s">
        <v>12</v>
      </c>
      <c r="C57" s="16">
        <f>C48-C45</f>
        <v>71148.089999999851</v>
      </c>
    </row>
    <row r="64" spans="2:3" s="3" customFormat="1" x14ac:dyDescent="0.25">
      <c r="B64" s="1"/>
      <c r="C64" s="5"/>
    </row>
    <row r="65" spans="2:2" x14ac:dyDescent="0.25">
      <c r="B65" s="1"/>
    </row>
    <row r="69" spans="2:2" x14ac:dyDescent="0.25">
      <c r="B69" s="1"/>
    </row>
    <row r="72" spans="2:2" x14ac:dyDescent="0.25">
      <c r="B72" s="1"/>
    </row>
  </sheetData>
  <mergeCells count="3">
    <mergeCell ref="B4:D4"/>
    <mergeCell ref="B5:D5"/>
    <mergeCell ref="B3:D3"/>
  </mergeCells>
  <pageMargins left="0.6692913385826772" right="0.51181102362204722" top="0.19685039370078741" bottom="0.27559055118110237" header="0.15748031496062992" footer="0.19685039370078741"/>
  <pageSetup paperSize="9" scale="72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D72"/>
  <sheetViews>
    <sheetView showGridLines="0" zoomScaleNormal="100" workbookViewId="0">
      <pane xSplit="2" ySplit="7" topLeftCell="C25" activePane="bottomRight" state="frozen"/>
      <selection pane="topRight" activeCell="C1" sqref="C1"/>
      <selection pane="bottomLeft" activeCell="A8" sqref="A8"/>
      <selection pane="bottomRight" activeCell="C43" sqref="C43"/>
    </sheetView>
  </sheetViews>
  <sheetFormatPr defaultRowHeight="15.75" x14ac:dyDescent="0.25"/>
  <cols>
    <col min="1" max="1" width="10.7109375" style="2" customWidth="1"/>
    <col min="2" max="2" width="58.28515625" style="2" bestFit="1" customWidth="1"/>
    <col min="3" max="3" width="20.7109375" style="4" customWidth="1"/>
    <col min="4" max="4" width="5.7109375" style="2" customWidth="1"/>
    <col min="5" max="16384" width="9.140625" style="2"/>
  </cols>
  <sheetData>
    <row r="3" spans="2:4" x14ac:dyDescent="0.25">
      <c r="B3" s="51"/>
      <c r="C3" s="51"/>
      <c r="D3" s="51"/>
    </row>
    <row r="4" spans="2:4" x14ac:dyDescent="0.25">
      <c r="B4" s="52" t="s">
        <v>13</v>
      </c>
      <c r="C4" s="52"/>
      <c r="D4" s="52"/>
    </row>
    <row r="5" spans="2:4" x14ac:dyDescent="0.25">
      <c r="B5" s="52" t="s">
        <v>14</v>
      </c>
      <c r="C5" s="52"/>
      <c r="D5" s="52"/>
    </row>
    <row r="6" spans="2:4" x14ac:dyDescent="0.25">
      <c r="B6" s="13"/>
      <c r="C6" s="13"/>
      <c r="D6" s="13"/>
    </row>
    <row r="7" spans="2:4" x14ac:dyDescent="0.25">
      <c r="B7" s="6" t="s">
        <v>0</v>
      </c>
      <c r="C7" s="12" t="s">
        <v>36</v>
      </c>
    </row>
    <row r="8" spans="2:4" s="3" customFormat="1" x14ac:dyDescent="0.25">
      <c r="B8" s="8" t="s">
        <v>1</v>
      </c>
      <c r="C8" s="9"/>
    </row>
    <row r="9" spans="2:4" x14ac:dyDescent="0.25">
      <c r="B9" s="10" t="str">
        <f>'1-12 ACUMULADO'!$B$9</f>
        <v>Receita -  Repasse Contrato de Gestão</v>
      </c>
      <c r="C9" s="7">
        <v>1525655</v>
      </c>
    </row>
    <row r="10" spans="2:4" x14ac:dyDescent="0.25">
      <c r="B10" s="10" t="str">
        <f>'1-12 ACUMULADO'!$B$10</f>
        <v>Receita - Cessão Onerosa de Espaço</v>
      </c>
      <c r="C10" s="7">
        <v>14901</v>
      </c>
    </row>
    <row r="11" spans="2:4" x14ac:dyDescent="0.25">
      <c r="B11" s="10" t="str">
        <f>'1-12 ACUMULADO'!$B$11</f>
        <v>Receita - Bilheteria</v>
      </c>
      <c r="C11" s="7">
        <v>17727.05</v>
      </c>
    </row>
    <row r="12" spans="2:4" x14ac:dyDescent="0.25">
      <c r="B12" s="10" t="str">
        <f>'1-12 ACUMULADO'!$B$12</f>
        <v>Receita - Comércio (Loja)</v>
      </c>
      <c r="C12" s="7">
        <v>11327.81</v>
      </c>
    </row>
    <row r="13" spans="2:4" x14ac:dyDescent="0.25">
      <c r="B13" s="10" t="str">
        <f>'1-12 ACUMULADO'!$B$13</f>
        <v>Receita - Parceiros</v>
      </c>
      <c r="C13" s="7">
        <v>716.67</v>
      </c>
    </row>
    <row r="14" spans="2:4" x14ac:dyDescent="0.25">
      <c r="B14" s="10" t="str">
        <f>'1-12 ACUMULADO'!$B$14</f>
        <v>Receita - Doações</v>
      </c>
      <c r="C14" s="7">
        <v>57.9</v>
      </c>
    </row>
    <row r="15" spans="2:4" x14ac:dyDescent="0.25">
      <c r="B15" s="10" t="str">
        <f>'1-12 ACUMULADO'!$B$15</f>
        <v>Receita - Demais</v>
      </c>
      <c r="C15" s="7">
        <v>0</v>
      </c>
    </row>
    <row r="16" spans="2:4" x14ac:dyDescent="0.25">
      <c r="B16" s="10" t="str">
        <f>'1-12 ACUMULADO'!$B$16</f>
        <v>Receita - Financeiras</v>
      </c>
      <c r="C16" s="7">
        <v>86040.8</v>
      </c>
    </row>
    <row r="17" spans="2:3" x14ac:dyDescent="0.25">
      <c r="B17" s="10"/>
      <c r="C17" s="7"/>
    </row>
    <row r="18" spans="2:3" s="3" customFormat="1" x14ac:dyDescent="0.25">
      <c r="B18" s="8" t="s">
        <v>2</v>
      </c>
      <c r="C18" s="9">
        <f>SUM(C9:C16)</f>
        <v>1656426.23</v>
      </c>
    </row>
    <row r="21" spans="2:3" s="3" customFormat="1" x14ac:dyDescent="0.25">
      <c r="B21" s="8" t="s">
        <v>24</v>
      </c>
      <c r="C21" s="9"/>
    </row>
    <row r="22" spans="2:3" x14ac:dyDescent="0.25">
      <c r="B22" s="10" t="str">
        <f>'1-12 ACUMULADO'!$B$22</f>
        <v>Despesas RH - CLT (Salários - Encargos Sociais - Benefícios)</v>
      </c>
      <c r="C22" s="7">
        <v>780101.94</v>
      </c>
    </row>
    <row r="23" spans="2:3" x14ac:dyDescent="0.25">
      <c r="B23" s="10" t="str">
        <f>'1-12 ACUMULADO'!$B$23</f>
        <v>Despesas RH - Estágio (Bolsa - Benefícios)</v>
      </c>
      <c r="C23" s="7">
        <v>32542.65</v>
      </c>
    </row>
    <row r="24" spans="2:3" x14ac:dyDescent="0.25">
      <c r="B24" s="10" t="str">
        <f>'1-12 ACUMULADO'!$B$24</f>
        <v>Despesas - Administrativas e Institucionais</v>
      </c>
      <c r="C24" s="7">
        <v>606305.46</v>
      </c>
    </row>
    <row r="25" spans="2:3" x14ac:dyDescent="0.25">
      <c r="B25" s="10" t="str">
        <f>'1-12 ACUMULADO'!$B$25</f>
        <v>Despesas Programas - Edificações</v>
      </c>
      <c r="C25" s="7">
        <v>73168.58</v>
      </c>
    </row>
    <row r="26" spans="2:3" x14ac:dyDescent="0.25">
      <c r="B26" s="10" t="str">
        <f>'1-12 ACUMULADO'!$B$26</f>
        <v>Despesas Programas - Acervos</v>
      </c>
      <c r="C26" s="7">
        <v>453.65</v>
      </c>
    </row>
    <row r="27" spans="2:3" x14ac:dyDescent="0.25">
      <c r="B27" s="10" t="str">
        <f>'1-12 ACUMULADO'!$B$27</f>
        <v>Despesas Programas - Exposições e Programações Culturais</v>
      </c>
      <c r="C27" s="7">
        <v>43677.82</v>
      </c>
    </row>
    <row r="28" spans="2:3" x14ac:dyDescent="0.25">
      <c r="B28" s="10" t="str">
        <f>'1-12 ACUMULADO'!$B$28</f>
        <v>Despesas Programas - Educativos</v>
      </c>
      <c r="C28" s="7">
        <v>5212.5600000000004</v>
      </c>
    </row>
    <row r="29" spans="2:3" x14ac:dyDescent="0.25">
      <c r="B29" s="10" t="str">
        <f>'1-12 ACUMULADO'!$B$29</f>
        <v>Despesas Programas - Conexões Museus - SP</v>
      </c>
      <c r="C29" s="7">
        <v>0</v>
      </c>
    </row>
    <row r="30" spans="2:3" x14ac:dyDescent="0.25">
      <c r="B30" s="10" t="str">
        <f>'1-12 ACUMULADO'!$B$30</f>
        <v>Despesas Programas - Gestão Museológica</v>
      </c>
      <c r="C30" s="7">
        <v>7181.85</v>
      </c>
    </row>
    <row r="31" spans="2:3" x14ac:dyDescent="0.25">
      <c r="B31" s="10" t="str">
        <f>'1-12 ACUMULADO'!$B$31</f>
        <v>Despesas Programas - Comunicação</v>
      </c>
      <c r="C31" s="7">
        <v>35207.5</v>
      </c>
    </row>
    <row r="32" spans="2:3" x14ac:dyDescent="0.25">
      <c r="B32" s="10"/>
      <c r="C32" s="7"/>
    </row>
    <row r="33" spans="2:3" s="3" customFormat="1" x14ac:dyDescent="0.25">
      <c r="B33" s="8" t="s">
        <v>3</v>
      </c>
      <c r="C33" s="9">
        <f>SUM(C22:C31)</f>
        <v>1583852.01</v>
      </c>
    </row>
    <row r="34" spans="2:3" x14ac:dyDescent="0.25">
      <c r="B34" s="10"/>
      <c r="C34" s="7"/>
    </row>
    <row r="35" spans="2:3" x14ac:dyDescent="0.25">
      <c r="B35" s="10"/>
      <c r="C35" s="7"/>
    </row>
    <row r="36" spans="2:3" s="3" customFormat="1" x14ac:dyDescent="0.25">
      <c r="B36" s="8" t="s">
        <v>4</v>
      </c>
      <c r="C36" s="9"/>
    </row>
    <row r="37" spans="2:3" x14ac:dyDescent="0.25">
      <c r="B37" s="10" t="str">
        <f>'1-12 ACUMULADO'!$B$37</f>
        <v>Aquisições de Bens Duráveis (Imobilizado)</v>
      </c>
      <c r="C37" s="7">
        <v>7807.3</v>
      </c>
    </row>
    <row r="38" spans="2:3" x14ac:dyDescent="0.25">
      <c r="B38" s="10"/>
      <c r="C38" s="7"/>
    </row>
    <row r="39" spans="2:3" s="3" customFormat="1" x14ac:dyDescent="0.25">
      <c r="B39" s="8" t="s">
        <v>5</v>
      </c>
      <c r="C39" s="9">
        <f>C37</f>
        <v>7807.3</v>
      </c>
    </row>
    <row r="40" spans="2:3" x14ac:dyDescent="0.25">
      <c r="B40" s="10"/>
      <c r="C40" s="7"/>
    </row>
    <row r="41" spans="2:3" s="3" customFormat="1" x14ac:dyDescent="0.25">
      <c r="B41" s="8" t="s">
        <v>33</v>
      </c>
      <c r="C41" s="16">
        <f>C18-(C33+C39)</f>
        <v>64766.919999999925</v>
      </c>
    </row>
    <row r="42" spans="2:3" x14ac:dyDescent="0.25">
      <c r="B42" s="10"/>
      <c r="C42" s="30" t="str">
        <f>IF(C41&gt;=0,"Superávit","Défict")</f>
        <v>Superávit</v>
      </c>
    </row>
    <row r="44" spans="2:3" s="3" customFormat="1" x14ac:dyDescent="0.25">
      <c r="B44" s="8" t="s">
        <v>6</v>
      </c>
      <c r="C44" s="9"/>
    </row>
    <row r="45" spans="2:3" s="3" customFormat="1" x14ac:dyDescent="0.25">
      <c r="B45" s="8" t="s">
        <v>31</v>
      </c>
      <c r="C45" s="9">
        <f>'1 JAN'!C48</f>
        <v>9299714.1199999992</v>
      </c>
    </row>
    <row r="46" spans="2:3" x14ac:dyDescent="0.25">
      <c r="B46" s="10" t="str">
        <f>'1-12 ACUMULADO'!$B$46</f>
        <v>( + ) Total Recursos Financeiros Recebidos no mês</v>
      </c>
      <c r="C46" s="7">
        <f>C18</f>
        <v>1656426.23</v>
      </c>
    </row>
    <row r="47" spans="2:3" x14ac:dyDescent="0.25">
      <c r="B47" s="10" t="str">
        <f>'1-12 ACUMULADO'!$B$47</f>
        <v>( - ) Total Despesas e Investimentos Aplicados no mês</v>
      </c>
      <c r="C47" s="7">
        <f>C33+C39</f>
        <v>1591659.31</v>
      </c>
    </row>
    <row r="48" spans="2:3" s="3" customFormat="1" x14ac:dyDescent="0.25">
      <c r="B48" s="8" t="s">
        <v>7</v>
      </c>
      <c r="C48" s="9">
        <f>C45+C46-C47</f>
        <v>9364481.0399999991</v>
      </c>
    </row>
    <row r="49" spans="2:3" x14ac:dyDescent="0.25">
      <c r="B49" s="10"/>
      <c r="C49" s="7"/>
    </row>
    <row r="50" spans="2:3" s="3" customFormat="1" x14ac:dyDescent="0.25">
      <c r="B50" s="8" t="s">
        <v>8</v>
      </c>
      <c r="C50" s="9"/>
    </row>
    <row r="51" spans="2:3" x14ac:dyDescent="0.25">
      <c r="B51" s="10" t="str">
        <f>'1-12 ACUMULADO'!$B$51</f>
        <v>Caixas</v>
      </c>
      <c r="C51" s="7">
        <v>8417.3799999999992</v>
      </c>
    </row>
    <row r="52" spans="2:3" x14ac:dyDescent="0.25">
      <c r="B52" s="10" t="str">
        <f>'1-12 ACUMULADO'!$B$52</f>
        <v>Bancos Contas Correntes</v>
      </c>
      <c r="C52" s="7">
        <v>62511.78</v>
      </c>
    </row>
    <row r="53" spans="2:3" x14ac:dyDescent="0.25">
      <c r="B53" s="10" t="str">
        <f>'1-12 ACUMULADO'!$B$53</f>
        <v>Bancos Contas Aplicações</v>
      </c>
      <c r="C53" s="7">
        <v>9293551.8800000008</v>
      </c>
    </row>
    <row r="54" spans="2:3" x14ac:dyDescent="0.25">
      <c r="B54" s="10" t="s">
        <v>55</v>
      </c>
      <c r="C54" s="7">
        <v>0</v>
      </c>
    </row>
    <row r="55" spans="2:3" s="3" customFormat="1" x14ac:dyDescent="0.25">
      <c r="B55" s="8" t="s">
        <v>11</v>
      </c>
      <c r="C55" s="9">
        <f>SUM(C51:C54)</f>
        <v>9364481.040000001</v>
      </c>
    </row>
    <row r="56" spans="2:3" x14ac:dyDescent="0.25">
      <c r="B56" s="10"/>
      <c r="C56" s="7"/>
    </row>
    <row r="57" spans="2:3" s="17" customFormat="1" x14ac:dyDescent="0.25">
      <c r="B57" s="15" t="s">
        <v>12</v>
      </c>
      <c r="C57" s="16">
        <f>C48-C45</f>
        <v>64766.919999999925</v>
      </c>
    </row>
    <row r="64" spans="2:3" s="3" customFormat="1" x14ac:dyDescent="0.25">
      <c r="B64" s="1"/>
      <c r="C64" s="5"/>
    </row>
    <row r="65" spans="2:2" x14ac:dyDescent="0.25">
      <c r="B65" s="1"/>
    </row>
    <row r="69" spans="2:2" x14ac:dyDescent="0.25">
      <c r="B69" s="1"/>
    </row>
    <row r="72" spans="2:2" x14ac:dyDescent="0.25">
      <c r="B72" s="1"/>
    </row>
  </sheetData>
  <mergeCells count="3">
    <mergeCell ref="B3:D3"/>
    <mergeCell ref="B4:D4"/>
    <mergeCell ref="B5:D5"/>
  </mergeCells>
  <pageMargins left="0.6692913385826772" right="0.51181102362204722" top="0.19685039370078741" bottom="0.27559055118110237" header="0.15748031496062992" footer="0.19685039370078741"/>
  <pageSetup paperSize="9" scale="72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D72"/>
  <sheetViews>
    <sheetView showGridLines="0" zoomScaleNormal="100" workbookViewId="0">
      <pane xSplit="2" ySplit="7" topLeftCell="C30" activePane="bottomRight" state="frozen"/>
      <selection pane="topRight" activeCell="C1" sqref="C1"/>
      <selection pane="bottomLeft" activeCell="A8" sqref="A8"/>
      <selection pane="bottomRight" activeCell="C43" sqref="C43"/>
    </sheetView>
  </sheetViews>
  <sheetFormatPr defaultRowHeight="15.75" x14ac:dyDescent="0.25"/>
  <cols>
    <col min="1" max="1" width="10.7109375" style="2" customWidth="1"/>
    <col min="2" max="2" width="58.28515625" style="2" bestFit="1" customWidth="1"/>
    <col min="3" max="3" width="20.7109375" style="4" customWidth="1"/>
    <col min="4" max="4" width="5.7109375" style="2" customWidth="1"/>
    <col min="5" max="16384" width="9.140625" style="2"/>
  </cols>
  <sheetData>
    <row r="3" spans="2:4" x14ac:dyDescent="0.25">
      <c r="B3" s="51"/>
      <c r="C3" s="51"/>
      <c r="D3" s="51"/>
    </row>
    <row r="4" spans="2:4" x14ac:dyDescent="0.25">
      <c r="B4" s="52" t="s">
        <v>13</v>
      </c>
      <c r="C4" s="52"/>
      <c r="D4" s="52"/>
    </row>
    <row r="5" spans="2:4" x14ac:dyDescent="0.25">
      <c r="B5" s="52" t="s">
        <v>14</v>
      </c>
      <c r="C5" s="52"/>
      <c r="D5" s="52"/>
    </row>
    <row r="6" spans="2:4" x14ac:dyDescent="0.25">
      <c r="B6" s="26"/>
      <c r="C6" s="26"/>
      <c r="D6" s="26"/>
    </row>
    <row r="7" spans="2:4" x14ac:dyDescent="0.25">
      <c r="B7" s="27" t="s">
        <v>0</v>
      </c>
      <c r="C7" s="12" t="s">
        <v>42</v>
      </c>
    </row>
    <row r="8" spans="2:4" s="3" customFormat="1" x14ac:dyDescent="0.25">
      <c r="B8" s="8" t="s">
        <v>1</v>
      </c>
      <c r="C8" s="9"/>
    </row>
    <row r="9" spans="2:4" x14ac:dyDescent="0.25">
      <c r="B9" s="10" t="str">
        <f>'1-12 ACUMULADO'!$B$9</f>
        <v>Receita -  Repasse Contrato de Gestão</v>
      </c>
      <c r="C9" s="7">
        <v>1525655</v>
      </c>
    </row>
    <row r="10" spans="2:4" x14ac:dyDescent="0.25">
      <c r="B10" s="10" t="str">
        <f>'1-12 ACUMULADO'!$B$10</f>
        <v>Receita - Cessão Onerosa de Espaço</v>
      </c>
      <c r="C10" s="7">
        <v>27151</v>
      </c>
    </row>
    <row r="11" spans="2:4" x14ac:dyDescent="0.25">
      <c r="B11" s="10" t="str">
        <f>'1-12 ACUMULADO'!$B$11</f>
        <v>Receita - Bilheteria</v>
      </c>
      <c r="C11" s="7">
        <v>19999.09</v>
      </c>
    </row>
    <row r="12" spans="2:4" x14ac:dyDescent="0.25">
      <c r="B12" s="10" t="str">
        <f>'1-12 ACUMULADO'!$B$12</f>
        <v>Receita - Comércio (Loja)</v>
      </c>
      <c r="C12" s="7">
        <v>10981.94</v>
      </c>
    </row>
    <row r="13" spans="2:4" x14ac:dyDescent="0.25">
      <c r="B13" s="10" t="str">
        <f>'1-12 ACUMULADO'!$B$13</f>
        <v>Receita - Parceiros</v>
      </c>
      <c r="C13" s="7">
        <v>716.67</v>
      </c>
    </row>
    <row r="14" spans="2:4" x14ac:dyDescent="0.25">
      <c r="B14" s="10" t="str">
        <f>'1-12 ACUMULADO'!$B$14</f>
        <v>Receita - Doações</v>
      </c>
      <c r="C14" s="7">
        <v>52</v>
      </c>
    </row>
    <row r="15" spans="2:4" x14ac:dyDescent="0.25">
      <c r="B15" s="10" t="str">
        <f>'1-12 ACUMULADO'!$B$15</f>
        <v>Receita - Demais</v>
      </c>
      <c r="C15" s="7">
        <v>0</v>
      </c>
    </row>
    <row r="16" spans="2:4" x14ac:dyDescent="0.25">
      <c r="B16" s="10" t="str">
        <f>'1-12 ACUMULADO'!$B$16</f>
        <v>Receita - Financeiras</v>
      </c>
      <c r="C16" s="7">
        <v>87069.28</v>
      </c>
    </row>
    <row r="17" spans="2:3" x14ac:dyDescent="0.25">
      <c r="B17" s="10"/>
      <c r="C17" s="7"/>
    </row>
    <row r="18" spans="2:3" s="3" customFormat="1" x14ac:dyDescent="0.25">
      <c r="B18" s="8" t="s">
        <v>2</v>
      </c>
      <c r="C18" s="9">
        <f>SUM(C9:C16)</f>
        <v>1671624.98</v>
      </c>
    </row>
    <row r="21" spans="2:3" s="3" customFormat="1" x14ac:dyDescent="0.25">
      <c r="B21" s="8" t="s">
        <v>24</v>
      </c>
      <c r="C21" s="9"/>
    </row>
    <row r="22" spans="2:3" x14ac:dyDescent="0.25">
      <c r="B22" s="10" t="str">
        <f>'1-12 ACUMULADO'!$B$22</f>
        <v>Despesas RH - CLT (Salários - Encargos Sociais - Benefícios)</v>
      </c>
      <c r="C22" s="7">
        <v>778736.58</v>
      </c>
    </row>
    <row r="23" spans="2:3" x14ac:dyDescent="0.25">
      <c r="B23" s="10" t="str">
        <f>'1-12 ACUMULADO'!$B$23</f>
        <v>Despesas RH - Estágio (Bolsa - Benefícios)</v>
      </c>
      <c r="C23" s="7">
        <v>32689.54</v>
      </c>
    </row>
    <row r="24" spans="2:3" x14ac:dyDescent="0.25">
      <c r="B24" s="10" t="str">
        <f>'1-12 ACUMULADO'!$B$24</f>
        <v>Despesas - Administrativas e Institucionais</v>
      </c>
      <c r="C24" s="7">
        <v>638050.43000000005</v>
      </c>
    </row>
    <row r="25" spans="2:3" x14ac:dyDescent="0.25">
      <c r="B25" s="10" t="str">
        <f>'1-12 ACUMULADO'!$B$25</f>
        <v>Despesas Programas - Edificações</v>
      </c>
      <c r="C25" s="7">
        <v>52115.99</v>
      </c>
    </row>
    <row r="26" spans="2:3" x14ac:dyDescent="0.25">
      <c r="B26" s="10" t="str">
        <f>'1-12 ACUMULADO'!$B$26</f>
        <v>Despesas Programas - Acervos</v>
      </c>
      <c r="C26" s="7">
        <v>2017.86</v>
      </c>
    </row>
    <row r="27" spans="2:3" x14ac:dyDescent="0.25">
      <c r="B27" s="10" t="str">
        <f>'1-12 ACUMULADO'!$B$27</f>
        <v>Despesas Programas - Exposições e Programações Culturais</v>
      </c>
      <c r="C27" s="7">
        <v>37354.239999999998</v>
      </c>
    </row>
    <row r="28" spans="2:3" x14ac:dyDescent="0.25">
      <c r="B28" s="10" t="str">
        <f>'1-12 ACUMULADO'!$B$28</f>
        <v>Despesas Programas - Educativos</v>
      </c>
      <c r="C28" s="7">
        <v>22097.81</v>
      </c>
    </row>
    <row r="29" spans="2:3" x14ac:dyDescent="0.25">
      <c r="B29" s="10" t="str">
        <f>'1-12 ACUMULADO'!$B$29</f>
        <v>Despesas Programas - Conexões Museus - SP</v>
      </c>
      <c r="C29" s="7">
        <v>0</v>
      </c>
    </row>
    <row r="30" spans="2:3" x14ac:dyDescent="0.25">
      <c r="B30" s="10" t="str">
        <f>'1-12 ACUMULADO'!$B$30</f>
        <v>Despesas Programas - Gestão Museológica</v>
      </c>
      <c r="C30" s="7">
        <v>27646.7</v>
      </c>
    </row>
    <row r="31" spans="2:3" x14ac:dyDescent="0.25">
      <c r="B31" s="10" t="str">
        <f>'1-12 ACUMULADO'!$B$31</f>
        <v>Despesas Programas - Comunicação</v>
      </c>
      <c r="C31" s="7">
        <v>22900.46</v>
      </c>
    </row>
    <row r="32" spans="2:3" x14ac:dyDescent="0.25">
      <c r="B32" s="10"/>
      <c r="C32" s="7"/>
    </row>
    <row r="33" spans="2:3" s="3" customFormat="1" x14ac:dyDescent="0.25">
      <c r="B33" s="8" t="s">
        <v>3</v>
      </c>
      <c r="C33" s="9">
        <f>SUM(C22:C31)</f>
        <v>1613609.61</v>
      </c>
    </row>
    <row r="34" spans="2:3" x14ac:dyDescent="0.25">
      <c r="B34" s="10"/>
      <c r="C34" s="7"/>
    </row>
    <row r="35" spans="2:3" x14ac:dyDescent="0.25">
      <c r="B35" s="10"/>
      <c r="C35" s="7"/>
    </row>
    <row r="36" spans="2:3" s="3" customFormat="1" x14ac:dyDescent="0.25">
      <c r="B36" s="8" t="s">
        <v>4</v>
      </c>
      <c r="C36" s="9"/>
    </row>
    <row r="37" spans="2:3" x14ac:dyDescent="0.25">
      <c r="B37" s="10" t="str">
        <f>'1-12 ACUMULADO'!$B$37</f>
        <v>Aquisições de Bens Duráveis (Imobilizado)</v>
      </c>
      <c r="C37" s="7">
        <v>23008</v>
      </c>
    </row>
    <row r="38" spans="2:3" x14ac:dyDescent="0.25">
      <c r="B38" s="10"/>
      <c r="C38" s="7"/>
    </row>
    <row r="39" spans="2:3" s="3" customFormat="1" x14ac:dyDescent="0.25">
      <c r="B39" s="8" t="s">
        <v>5</v>
      </c>
      <c r="C39" s="9">
        <f>C37</f>
        <v>23008</v>
      </c>
    </row>
    <row r="40" spans="2:3" x14ac:dyDescent="0.25">
      <c r="B40" s="10"/>
      <c r="C40" s="7"/>
    </row>
    <row r="41" spans="2:3" s="3" customFormat="1" x14ac:dyDescent="0.25">
      <c r="B41" s="8" t="s">
        <v>33</v>
      </c>
      <c r="C41" s="16">
        <f>C18-(C33+C39)</f>
        <v>35007.369999999879</v>
      </c>
    </row>
    <row r="42" spans="2:3" x14ac:dyDescent="0.25">
      <c r="B42" s="10"/>
      <c r="C42" s="30" t="str">
        <f>IF(C41&gt;=0,"Superávit","Défict")</f>
        <v>Superávit</v>
      </c>
    </row>
    <row r="44" spans="2:3" s="3" customFormat="1" x14ac:dyDescent="0.25">
      <c r="B44" s="8" t="s">
        <v>6</v>
      </c>
      <c r="C44" s="9"/>
    </row>
    <row r="45" spans="2:3" s="3" customFormat="1" x14ac:dyDescent="0.25">
      <c r="B45" s="8" t="s">
        <v>31</v>
      </c>
      <c r="C45" s="9">
        <f>'2 FEV'!C48</f>
        <v>9364481.0399999991</v>
      </c>
    </row>
    <row r="46" spans="2:3" x14ac:dyDescent="0.25">
      <c r="B46" s="10" t="str">
        <f>'1-12 ACUMULADO'!$B$46</f>
        <v>( + ) Total Recursos Financeiros Recebidos no mês</v>
      </c>
      <c r="C46" s="7">
        <f>C18</f>
        <v>1671624.98</v>
      </c>
    </row>
    <row r="47" spans="2:3" x14ac:dyDescent="0.25">
      <c r="B47" s="10" t="str">
        <f>'1-12 ACUMULADO'!$B$47</f>
        <v>( - ) Total Despesas e Investimentos Aplicados no mês</v>
      </c>
      <c r="C47" s="7">
        <f>C33+C39</f>
        <v>1636617.61</v>
      </c>
    </row>
    <row r="48" spans="2:3" s="3" customFormat="1" x14ac:dyDescent="0.25">
      <c r="B48" s="8" t="s">
        <v>7</v>
      </c>
      <c r="C48" s="9">
        <f>C45+C46-C47</f>
        <v>9399488.4100000001</v>
      </c>
    </row>
    <row r="49" spans="2:3" x14ac:dyDescent="0.25">
      <c r="B49" s="10"/>
      <c r="C49" s="7"/>
    </row>
    <row r="50" spans="2:3" s="3" customFormat="1" x14ac:dyDescent="0.25">
      <c r="B50" s="8" t="s">
        <v>8</v>
      </c>
      <c r="C50" s="9"/>
    </row>
    <row r="51" spans="2:3" x14ac:dyDescent="0.25">
      <c r="B51" s="10" t="str">
        <f>'1-12 ACUMULADO'!$B$51</f>
        <v>Caixas</v>
      </c>
      <c r="C51" s="7">
        <v>8695.2199999999993</v>
      </c>
    </row>
    <row r="52" spans="2:3" x14ac:dyDescent="0.25">
      <c r="B52" s="10" t="str">
        <f>'1-12 ACUMULADO'!$B$52</f>
        <v>Bancos Contas Correntes</v>
      </c>
      <c r="C52" s="7">
        <v>43103.62</v>
      </c>
    </row>
    <row r="53" spans="2:3" x14ac:dyDescent="0.25">
      <c r="B53" s="10" t="str">
        <f>'1-12 ACUMULADO'!$B$53</f>
        <v>Bancos Contas Aplicações</v>
      </c>
      <c r="C53" s="7">
        <v>9347689.5700000003</v>
      </c>
    </row>
    <row r="54" spans="2:3" x14ac:dyDescent="0.25">
      <c r="B54" s="10" t="s">
        <v>55</v>
      </c>
      <c r="C54" s="7">
        <v>0</v>
      </c>
    </row>
    <row r="55" spans="2:3" s="3" customFormat="1" x14ac:dyDescent="0.25">
      <c r="B55" s="8" t="s">
        <v>11</v>
      </c>
      <c r="C55" s="9">
        <f>SUM(C51:C54)</f>
        <v>9399488.4100000001</v>
      </c>
    </row>
    <row r="56" spans="2:3" x14ac:dyDescent="0.25">
      <c r="B56" s="10"/>
      <c r="C56" s="7"/>
    </row>
    <row r="57" spans="2:3" s="17" customFormat="1" x14ac:dyDescent="0.25">
      <c r="B57" s="15" t="s">
        <v>12</v>
      </c>
      <c r="C57" s="16">
        <f>C48-C45</f>
        <v>35007.370000001043</v>
      </c>
    </row>
    <row r="64" spans="2:3" s="3" customFormat="1" x14ac:dyDescent="0.25">
      <c r="B64" s="1"/>
      <c r="C64" s="5"/>
    </row>
    <row r="65" spans="2:2" x14ac:dyDescent="0.25">
      <c r="B65" s="1"/>
    </row>
    <row r="69" spans="2:2" x14ac:dyDescent="0.25">
      <c r="B69" s="1"/>
    </row>
    <row r="72" spans="2:2" x14ac:dyDescent="0.25">
      <c r="B72" s="1"/>
    </row>
  </sheetData>
  <mergeCells count="3">
    <mergeCell ref="B3:D3"/>
    <mergeCell ref="B4:D4"/>
    <mergeCell ref="B5:D5"/>
  </mergeCells>
  <pageMargins left="0.6692913385826772" right="0.51181102362204722" top="0.19685039370078741" bottom="0.27559055118110237" header="0.15748031496062992" footer="0.19685039370078741"/>
  <pageSetup paperSize="9" scale="72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D72"/>
  <sheetViews>
    <sheetView showGridLines="0" zoomScaleNormal="100" workbookViewId="0">
      <pane xSplit="2" ySplit="7" topLeftCell="C24" activePane="bottomRight" state="frozen"/>
      <selection pane="topRight" activeCell="C1" sqref="C1"/>
      <selection pane="bottomLeft" activeCell="A8" sqref="A8"/>
      <selection pane="bottomRight" activeCell="C43" sqref="C43"/>
    </sheetView>
  </sheetViews>
  <sheetFormatPr defaultRowHeight="15.75" x14ac:dyDescent="0.25"/>
  <cols>
    <col min="1" max="1" width="10.7109375" style="2" customWidth="1"/>
    <col min="2" max="2" width="58.28515625" style="2" bestFit="1" customWidth="1"/>
    <col min="3" max="3" width="20.7109375" style="4" customWidth="1"/>
    <col min="4" max="4" width="5.7109375" style="2" customWidth="1"/>
    <col min="5" max="16384" width="9.140625" style="2"/>
  </cols>
  <sheetData>
    <row r="3" spans="2:4" x14ac:dyDescent="0.25">
      <c r="B3" s="51"/>
      <c r="C3" s="51"/>
      <c r="D3" s="51"/>
    </row>
    <row r="4" spans="2:4" x14ac:dyDescent="0.25">
      <c r="B4" s="52" t="s">
        <v>13</v>
      </c>
      <c r="C4" s="52"/>
      <c r="D4" s="52"/>
    </row>
    <row r="5" spans="2:4" x14ac:dyDescent="0.25">
      <c r="B5" s="52" t="s">
        <v>14</v>
      </c>
      <c r="C5" s="52"/>
      <c r="D5" s="52"/>
    </row>
    <row r="6" spans="2:4" x14ac:dyDescent="0.25">
      <c r="B6" s="28"/>
      <c r="C6" s="28"/>
      <c r="D6" s="28"/>
    </row>
    <row r="7" spans="2:4" x14ac:dyDescent="0.25">
      <c r="B7" s="29" t="s">
        <v>0</v>
      </c>
      <c r="C7" s="12" t="s">
        <v>47</v>
      </c>
    </row>
    <row r="8" spans="2:4" s="3" customFormat="1" x14ac:dyDescent="0.25">
      <c r="B8" s="8" t="s">
        <v>1</v>
      </c>
      <c r="C8" s="9"/>
    </row>
    <row r="9" spans="2:4" x14ac:dyDescent="0.25">
      <c r="B9" s="10" t="str">
        <f>'1-12 ACUMULADO'!$B$9</f>
        <v>Receita -  Repasse Contrato de Gestão</v>
      </c>
      <c r="C9" s="7">
        <v>1525655</v>
      </c>
    </row>
    <row r="10" spans="2:4" x14ac:dyDescent="0.25">
      <c r="B10" s="10" t="str">
        <f>'1-12 ACUMULADO'!$B$10</f>
        <v>Receita - Cessão Onerosa de Espaço</v>
      </c>
      <c r="C10" s="7">
        <v>14751</v>
      </c>
    </row>
    <row r="11" spans="2:4" x14ac:dyDescent="0.25">
      <c r="B11" s="10" t="str">
        <f>'1-12 ACUMULADO'!$B$11</f>
        <v>Receita - Bilheteria</v>
      </c>
      <c r="C11" s="7">
        <v>23260.06</v>
      </c>
    </row>
    <row r="12" spans="2:4" x14ac:dyDescent="0.25">
      <c r="B12" s="10" t="str">
        <f>'1-12 ACUMULADO'!$B$12</f>
        <v>Receita - Comércio (Loja)</v>
      </c>
      <c r="C12" s="7">
        <v>16338.91</v>
      </c>
    </row>
    <row r="13" spans="2:4" x14ac:dyDescent="0.25">
      <c r="B13" s="10" t="str">
        <f>'1-12 ACUMULADO'!$B$13</f>
        <v>Receita - Parceiros</v>
      </c>
      <c r="C13" s="7">
        <v>816.67</v>
      </c>
    </row>
    <row r="14" spans="2:4" x14ac:dyDescent="0.25">
      <c r="B14" s="10" t="str">
        <f>'1-12 ACUMULADO'!$B$14</f>
        <v>Receita - Doações</v>
      </c>
      <c r="C14" s="7">
        <v>0</v>
      </c>
    </row>
    <row r="15" spans="2:4" x14ac:dyDescent="0.25">
      <c r="B15" s="10" t="str">
        <f>'1-12 ACUMULADO'!$B$15</f>
        <v>Receita - Demais</v>
      </c>
      <c r="C15" s="7">
        <v>0</v>
      </c>
    </row>
    <row r="16" spans="2:4" x14ac:dyDescent="0.25">
      <c r="B16" s="10" t="str">
        <f>'1-12 ACUMULADO'!$B$16</f>
        <v>Receita - Financeiras</v>
      </c>
      <c r="C16" s="7">
        <v>94711.24</v>
      </c>
    </row>
    <row r="17" spans="2:3" x14ac:dyDescent="0.25">
      <c r="B17" s="10"/>
      <c r="C17" s="7"/>
    </row>
    <row r="18" spans="2:3" s="3" customFormat="1" x14ac:dyDescent="0.25">
      <c r="B18" s="8" t="s">
        <v>2</v>
      </c>
      <c r="C18" s="9">
        <f>SUM(C9:C16)</f>
        <v>1675532.88</v>
      </c>
    </row>
    <row r="21" spans="2:3" s="3" customFormat="1" x14ac:dyDescent="0.25">
      <c r="B21" s="8" t="s">
        <v>24</v>
      </c>
      <c r="C21" s="9"/>
    </row>
    <row r="22" spans="2:3" x14ac:dyDescent="0.25">
      <c r="B22" s="10" t="str">
        <f>'1-12 ACUMULADO'!$B$22</f>
        <v>Despesas RH - CLT (Salários - Encargos Sociais - Benefícios)</v>
      </c>
      <c r="C22" s="7">
        <v>810285.2</v>
      </c>
    </row>
    <row r="23" spans="2:3" x14ac:dyDescent="0.25">
      <c r="B23" s="10" t="str">
        <f>'1-12 ACUMULADO'!$B$23</f>
        <v>Despesas RH - Estágio (Bolsa - Benefícios)</v>
      </c>
      <c r="C23" s="7">
        <v>31319.52</v>
      </c>
    </row>
    <row r="24" spans="2:3" x14ac:dyDescent="0.25">
      <c r="B24" s="10" t="str">
        <f>'1-12 ACUMULADO'!$B$24</f>
        <v>Despesas - Administrativas e Institucionais</v>
      </c>
      <c r="C24" s="7">
        <v>618413.56999999995</v>
      </c>
    </row>
    <row r="25" spans="2:3" x14ac:dyDescent="0.25">
      <c r="B25" s="10" t="str">
        <f>'1-12 ACUMULADO'!$B$25</f>
        <v>Despesas Programas - Edificações</v>
      </c>
      <c r="C25" s="7">
        <v>79494.899999999994</v>
      </c>
    </row>
    <row r="26" spans="2:3" x14ac:dyDescent="0.25">
      <c r="B26" s="10" t="str">
        <f>'1-12 ACUMULADO'!$B$26</f>
        <v>Despesas Programas - Acervos</v>
      </c>
      <c r="C26" s="7">
        <v>6283.63</v>
      </c>
    </row>
    <row r="27" spans="2:3" x14ac:dyDescent="0.25">
      <c r="B27" s="10" t="str">
        <f>'1-12 ACUMULADO'!$B$27</f>
        <v>Despesas Programas - Exposições e Programações Culturais</v>
      </c>
      <c r="C27" s="7">
        <v>37669.699999999997</v>
      </c>
    </row>
    <row r="28" spans="2:3" x14ac:dyDescent="0.25">
      <c r="B28" s="10" t="str">
        <f>'1-12 ACUMULADO'!$B$28</f>
        <v>Despesas Programas - Educativos</v>
      </c>
      <c r="C28" s="7">
        <v>16338.94</v>
      </c>
    </row>
    <row r="29" spans="2:3" x14ac:dyDescent="0.25">
      <c r="B29" s="10" t="str">
        <f>'1-12 ACUMULADO'!$B$29</f>
        <v>Despesas Programas - Conexões Museus - SP</v>
      </c>
      <c r="C29" s="7">
        <v>0</v>
      </c>
    </row>
    <row r="30" spans="2:3" x14ac:dyDescent="0.25">
      <c r="B30" s="10" t="str">
        <f>'1-12 ACUMULADO'!$B$30</f>
        <v>Despesas Programas - Gestão Museológica</v>
      </c>
      <c r="C30" s="7">
        <v>15825.38</v>
      </c>
    </row>
    <row r="31" spans="2:3" x14ac:dyDescent="0.25">
      <c r="B31" s="10" t="str">
        <f>'1-12 ACUMULADO'!$B$31</f>
        <v>Despesas Programas - Comunicação</v>
      </c>
      <c r="C31" s="7">
        <v>22439.01</v>
      </c>
    </row>
    <row r="32" spans="2:3" x14ac:dyDescent="0.25">
      <c r="B32" s="10"/>
      <c r="C32" s="7"/>
    </row>
    <row r="33" spans="2:3" s="3" customFormat="1" x14ac:dyDescent="0.25">
      <c r="B33" s="8" t="s">
        <v>3</v>
      </c>
      <c r="C33" s="9">
        <f>SUM(C22:C31)</f>
        <v>1638069.8499999996</v>
      </c>
    </row>
    <row r="34" spans="2:3" x14ac:dyDescent="0.25">
      <c r="B34" s="10"/>
      <c r="C34" s="7"/>
    </row>
    <row r="35" spans="2:3" x14ac:dyDescent="0.25">
      <c r="B35" s="10"/>
      <c r="C35" s="7"/>
    </row>
    <row r="36" spans="2:3" s="3" customFormat="1" x14ac:dyDescent="0.25">
      <c r="B36" s="8" t="s">
        <v>4</v>
      </c>
      <c r="C36" s="9"/>
    </row>
    <row r="37" spans="2:3" x14ac:dyDescent="0.25">
      <c r="B37" s="10" t="str">
        <f>'1-12 ACUMULADO'!$B$37</f>
        <v>Aquisições de Bens Duráveis (Imobilizado)</v>
      </c>
      <c r="C37" s="7">
        <v>0</v>
      </c>
    </row>
    <row r="38" spans="2:3" x14ac:dyDescent="0.25">
      <c r="B38" s="10"/>
      <c r="C38" s="7"/>
    </row>
    <row r="39" spans="2:3" s="3" customFormat="1" x14ac:dyDescent="0.25">
      <c r="B39" s="8" t="s">
        <v>5</v>
      </c>
      <c r="C39" s="9">
        <f>C37</f>
        <v>0</v>
      </c>
    </row>
    <row r="40" spans="2:3" x14ac:dyDescent="0.25">
      <c r="B40" s="10"/>
      <c r="C40" s="7"/>
    </row>
    <row r="41" spans="2:3" s="3" customFormat="1" x14ac:dyDescent="0.25">
      <c r="B41" s="8" t="s">
        <v>33</v>
      </c>
      <c r="C41" s="16">
        <f>C18-(C33+C39)</f>
        <v>37463.030000000261</v>
      </c>
    </row>
    <row r="42" spans="2:3" x14ac:dyDescent="0.25">
      <c r="B42" s="10"/>
      <c r="C42" s="30" t="str">
        <f>IF(C41&gt;=0,"Superávit","Défict")</f>
        <v>Superávit</v>
      </c>
    </row>
    <row r="44" spans="2:3" s="3" customFormat="1" x14ac:dyDescent="0.25">
      <c r="B44" s="8" t="s">
        <v>6</v>
      </c>
      <c r="C44" s="9"/>
    </row>
    <row r="45" spans="2:3" s="3" customFormat="1" x14ac:dyDescent="0.25">
      <c r="B45" s="8" t="s">
        <v>31</v>
      </c>
      <c r="C45" s="9">
        <f>'3 MAR'!C48</f>
        <v>9399488.4100000001</v>
      </c>
    </row>
    <row r="46" spans="2:3" x14ac:dyDescent="0.25">
      <c r="B46" s="10" t="str">
        <f>'1-12 ACUMULADO'!$B$46</f>
        <v>( + ) Total Recursos Financeiros Recebidos no mês</v>
      </c>
      <c r="C46" s="7">
        <f>C18</f>
        <v>1675532.88</v>
      </c>
    </row>
    <row r="47" spans="2:3" x14ac:dyDescent="0.25">
      <c r="B47" s="10" t="str">
        <f>'1-12 ACUMULADO'!$B$47</f>
        <v>( - ) Total Despesas e Investimentos Aplicados no mês</v>
      </c>
      <c r="C47" s="7">
        <f>C33+C39</f>
        <v>1638069.8499999996</v>
      </c>
    </row>
    <row r="48" spans="2:3" s="3" customFormat="1" x14ac:dyDescent="0.25">
      <c r="B48" s="8" t="s">
        <v>7</v>
      </c>
      <c r="C48" s="9">
        <f>C45+C46-C47</f>
        <v>9436951.4399999995</v>
      </c>
    </row>
    <row r="49" spans="2:3" x14ac:dyDescent="0.25">
      <c r="B49" s="10"/>
      <c r="C49" s="7"/>
    </row>
    <row r="50" spans="2:3" s="3" customFormat="1" x14ac:dyDescent="0.25">
      <c r="B50" s="8" t="s">
        <v>8</v>
      </c>
      <c r="C50" s="9"/>
    </row>
    <row r="51" spans="2:3" x14ac:dyDescent="0.25">
      <c r="B51" s="10" t="str">
        <f>'1-12 ACUMULADO'!$B$51</f>
        <v>Caixas</v>
      </c>
      <c r="C51" s="7">
        <v>9342.75</v>
      </c>
    </row>
    <row r="52" spans="2:3" x14ac:dyDescent="0.25">
      <c r="B52" s="10" t="str">
        <f>'1-12 ACUMULADO'!$B$52</f>
        <v>Bancos Contas Correntes</v>
      </c>
      <c r="C52" s="7">
        <v>78312.56</v>
      </c>
    </row>
    <row r="53" spans="2:3" x14ac:dyDescent="0.25">
      <c r="B53" s="10" t="str">
        <f>'1-12 ACUMULADO'!$B$53</f>
        <v>Bancos Contas Aplicações</v>
      </c>
      <c r="C53" s="7">
        <v>9349296.1300000008</v>
      </c>
    </row>
    <row r="54" spans="2:3" x14ac:dyDescent="0.25">
      <c r="B54" s="10" t="s">
        <v>55</v>
      </c>
      <c r="C54" s="7">
        <v>0</v>
      </c>
    </row>
    <row r="55" spans="2:3" s="3" customFormat="1" x14ac:dyDescent="0.25">
      <c r="B55" s="8" t="s">
        <v>11</v>
      </c>
      <c r="C55" s="9">
        <f>SUM(C51:C54)</f>
        <v>9436951.4400000013</v>
      </c>
    </row>
    <row r="56" spans="2:3" x14ac:dyDescent="0.25">
      <c r="B56" s="10"/>
      <c r="C56" s="7"/>
    </row>
    <row r="57" spans="2:3" s="17" customFormat="1" x14ac:dyDescent="0.25">
      <c r="B57" s="15" t="s">
        <v>12</v>
      </c>
      <c r="C57" s="16">
        <f>C48-C45</f>
        <v>37463.029999999329</v>
      </c>
    </row>
    <row r="64" spans="2:3" s="3" customFormat="1" x14ac:dyDescent="0.25">
      <c r="B64" s="1"/>
      <c r="C64" s="5"/>
    </row>
    <row r="65" spans="2:2" x14ac:dyDescent="0.25">
      <c r="B65" s="1"/>
    </row>
    <row r="69" spans="2:2" x14ac:dyDescent="0.25">
      <c r="B69" s="1"/>
    </row>
    <row r="72" spans="2:2" x14ac:dyDescent="0.25">
      <c r="B72" s="1"/>
    </row>
  </sheetData>
  <mergeCells count="3">
    <mergeCell ref="B3:D3"/>
    <mergeCell ref="B4:D4"/>
    <mergeCell ref="B5:D5"/>
  </mergeCells>
  <pageMargins left="0.6692913385826772" right="0.51181102362204722" top="0.19685039370078741" bottom="0.27559055118110237" header="0.15748031496062992" footer="0.19685039370078741"/>
  <pageSetup paperSize="9" scale="72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D72"/>
  <sheetViews>
    <sheetView showGridLines="0" zoomScaleNormal="100" workbookViewId="0">
      <pane xSplit="2" ySplit="7" topLeftCell="C26" activePane="bottomRight" state="frozen"/>
      <selection pane="topRight" activeCell="C1" sqref="C1"/>
      <selection pane="bottomLeft" activeCell="A8" sqref="A8"/>
      <selection pane="bottomRight" activeCell="C43" sqref="C43"/>
    </sheetView>
  </sheetViews>
  <sheetFormatPr defaultRowHeight="15.75" x14ac:dyDescent="0.25"/>
  <cols>
    <col min="1" max="1" width="10.7109375" style="2" customWidth="1"/>
    <col min="2" max="2" width="58.28515625" style="2" bestFit="1" customWidth="1"/>
    <col min="3" max="3" width="20.7109375" style="4" customWidth="1"/>
    <col min="4" max="4" width="5.7109375" style="2" customWidth="1"/>
    <col min="5" max="16384" width="9.140625" style="2"/>
  </cols>
  <sheetData>
    <row r="3" spans="2:4" x14ac:dyDescent="0.25">
      <c r="B3" s="51"/>
      <c r="C3" s="51"/>
      <c r="D3" s="51"/>
    </row>
    <row r="4" spans="2:4" x14ac:dyDescent="0.25">
      <c r="B4" s="52" t="s">
        <v>13</v>
      </c>
      <c r="C4" s="52"/>
      <c r="D4" s="52"/>
    </row>
    <row r="5" spans="2:4" x14ac:dyDescent="0.25">
      <c r="B5" s="52" t="s">
        <v>14</v>
      </c>
      <c r="C5" s="52"/>
      <c r="D5" s="52"/>
    </row>
    <row r="6" spans="2:4" x14ac:dyDescent="0.25">
      <c r="B6" s="31"/>
      <c r="C6" s="31"/>
      <c r="D6" s="31"/>
    </row>
    <row r="7" spans="2:4" x14ac:dyDescent="0.25">
      <c r="B7" s="32" t="s">
        <v>0</v>
      </c>
      <c r="C7" s="12" t="s">
        <v>49</v>
      </c>
    </row>
    <row r="8" spans="2:4" s="3" customFormat="1" x14ac:dyDescent="0.25">
      <c r="B8" s="8" t="s">
        <v>1</v>
      </c>
      <c r="C8" s="9"/>
    </row>
    <row r="9" spans="2:4" x14ac:dyDescent="0.25">
      <c r="B9" s="10" t="str">
        <f>'1-12 ACUMULADO'!$B$9</f>
        <v>Receita -  Repasse Contrato de Gestão</v>
      </c>
      <c r="C9" s="7">
        <v>1525655</v>
      </c>
    </row>
    <row r="10" spans="2:4" x14ac:dyDescent="0.25">
      <c r="B10" s="10" t="str">
        <f>'1-12 ACUMULADO'!$B$10</f>
        <v>Receita - Cessão Onerosa de Espaço</v>
      </c>
      <c r="C10" s="7">
        <v>19501</v>
      </c>
    </row>
    <row r="11" spans="2:4" x14ac:dyDescent="0.25">
      <c r="B11" s="10" t="str">
        <f>'1-12 ACUMULADO'!$B$11</f>
        <v>Receita - Bilheteria</v>
      </c>
      <c r="C11" s="7">
        <v>29854.69</v>
      </c>
    </row>
    <row r="12" spans="2:4" x14ac:dyDescent="0.25">
      <c r="B12" s="10" t="str">
        <f>'1-12 ACUMULADO'!$B$12</f>
        <v>Receita - Comércio (Loja)</v>
      </c>
      <c r="C12" s="7">
        <v>12281.51</v>
      </c>
    </row>
    <row r="13" spans="2:4" x14ac:dyDescent="0.25">
      <c r="B13" s="10" t="str">
        <f>'1-12 ACUMULADO'!$B$13</f>
        <v>Receita - Parceiros</v>
      </c>
      <c r="C13" s="7">
        <v>1916.67</v>
      </c>
    </row>
    <row r="14" spans="2:4" x14ac:dyDescent="0.25">
      <c r="B14" s="10" t="str">
        <f>'1-12 ACUMULADO'!$B$14</f>
        <v>Receita - Doações</v>
      </c>
      <c r="C14" s="7">
        <v>0</v>
      </c>
    </row>
    <row r="15" spans="2:4" x14ac:dyDescent="0.25">
      <c r="B15" s="10" t="str">
        <f>'1-12 ACUMULADO'!$B$15</f>
        <v>Receita - Demais</v>
      </c>
      <c r="C15" s="7">
        <v>9889.2900000000009</v>
      </c>
    </row>
    <row r="16" spans="2:4" x14ac:dyDescent="0.25">
      <c r="B16" s="10" t="str">
        <f>'1-12 ACUMULADO'!$B$16</f>
        <v>Receita - Financeiras</v>
      </c>
      <c r="C16" s="7">
        <v>99837.59</v>
      </c>
    </row>
    <row r="17" spans="2:3" x14ac:dyDescent="0.25">
      <c r="B17" s="10"/>
      <c r="C17" s="7"/>
    </row>
    <row r="18" spans="2:3" s="3" customFormat="1" x14ac:dyDescent="0.25">
      <c r="B18" s="8" t="s">
        <v>2</v>
      </c>
      <c r="C18" s="9">
        <f>SUM(C9:C16)</f>
        <v>1698935.75</v>
      </c>
    </row>
    <row r="21" spans="2:3" s="3" customFormat="1" x14ac:dyDescent="0.25">
      <c r="B21" s="8" t="s">
        <v>24</v>
      </c>
      <c r="C21" s="9"/>
    </row>
    <row r="22" spans="2:3" x14ac:dyDescent="0.25">
      <c r="B22" s="10" t="str">
        <f>'1-12 ACUMULADO'!$B$22</f>
        <v>Despesas RH - CLT (Salários - Encargos Sociais - Benefícios)</v>
      </c>
      <c r="C22" s="7">
        <v>768544.23</v>
      </c>
    </row>
    <row r="23" spans="2:3" x14ac:dyDescent="0.25">
      <c r="B23" s="10" t="str">
        <f>'1-12 ACUMULADO'!$B$23</f>
        <v>Despesas RH - Estágio (Bolsa - Benefícios)</v>
      </c>
      <c r="C23" s="7">
        <v>32990.19</v>
      </c>
    </row>
    <row r="24" spans="2:3" x14ac:dyDescent="0.25">
      <c r="B24" s="10" t="str">
        <f>'1-12 ACUMULADO'!$B$24</f>
        <v>Despesas - Administrativas e Institucionais</v>
      </c>
      <c r="C24" s="7">
        <v>666793.43000000005</v>
      </c>
    </row>
    <row r="25" spans="2:3" x14ac:dyDescent="0.25">
      <c r="B25" s="10" t="str">
        <f>'1-12 ACUMULADO'!$B$25</f>
        <v>Despesas Programas - Edificações</v>
      </c>
      <c r="C25" s="7">
        <v>56847.17</v>
      </c>
    </row>
    <row r="26" spans="2:3" x14ac:dyDescent="0.25">
      <c r="B26" s="10" t="str">
        <f>'1-12 ACUMULADO'!$B$26</f>
        <v>Despesas Programas - Acervos</v>
      </c>
      <c r="C26" s="7">
        <v>4050.64</v>
      </c>
    </row>
    <row r="27" spans="2:3" x14ac:dyDescent="0.25">
      <c r="B27" s="10" t="str">
        <f>'1-12 ACUMULADO'!$B$27</f>
        <v>Despesas Programas - Exposições e Programações Culturais</v>
      </c>
      <c r="C27" s="7">
        <v>532671.28</v>
      </c>
    </row>
    <row r="28" spans="2:3" x14ac:dyDescent="0.25">
      <c r="B28" s="10" t="str">
        <f>'1-12 ACUMULADO'!$B$28</f>
        <v>Despesas Programas - Educativos</v>
      </c>
      <c r="C28" s="7">
        <v>3132.08</v>
      </c>
    </row>
    <row r="29" spans="2:3" x14ac:dyDescent="0.25">
      <c r="B29" s="10" t="str">
        <f>'1-12 ACUMULADO'!$B$29</f>
        <v>Despesas Programas - Conexões Museus - SP</v>
      </c>
      <c r="C29" s="7">
        <v>629.98</v>
      </c>
    </row>
    <row r="30" spans="2:3" x14ac:dyDescent="0.25">
      <c r="B30" s="10" t="str">
        <f>'1-12 ACUMULADO'!$B$30</f>
        <v>Despesas Programas - Gestão Museológica</v>
      </c>
      <c r="C30" s="7">
        <v>505.01</v>
      </c>
    </row>
    <row r="31" spans="2:3" x14ac:dyDescent="0.25">
      <c r="B31" s="10" t="str">
        <f>'1-12 ACUMULADO'!$B$31</f>
        <v>Despesas Programas - Comunicação</v>
      </c>
      <c r="C31" s="7">
        <v>24594.38</v>
      </c>
    </row>
    <row r="32" spans="2:3" x14ac:dyDescent="0.25">
      <c r="B32" s="10"/>
      <c r="C32" s="7"/>
    </row>
    <row r="33" spans="2:3" s="3" customFormat="1" x14ac:dyDescent="0.25">
      <c r="B33" s="8" t="s">
        <v>3</v>
      </c>
      <c r="C33" s="9">
        <f>SUM(C22:C31)</f>
        <v>2090758.39</v>
      </c>
    </row>
    <row r="34" spans="2:3" x14ac:dyDescent="0.25">
      <c r="B34" s="10"/>
      <c r="C34" s="7"/>
    </row>
    <row r="35" spans="2:3" x14ac:dyDescent="0.25">
      <c r="B35" s="10"/>
      <c r="C35" s="7"/>
    </row>
    <row r="36" spans="2:3" s="3" customFormat="1" x14ac:dyDescent="0.25">
      <c r="B36" s="8" t="s">
        <v>4</v>
      </c>
      <c r="C36" s="9"/>
    </row>
    <row r="37" spans="2:3" x14ac:dyDescent="0.25">
      <c r="B37" s="10" t="str">
        <f>'1-12 ACUMULADO'!$B$37</f>
        <v>Aquisições de Bens Duráveis (Imobilizado)</v>
      </c>
      <c r="C37" s="7">
        <v>580</v>
      </c>
    </row>
    <row r="38" spans="2:3" x14ac:dyDescent="0.25">
      <c r="B38" s="10"/>
      <c r="C38" s="7"/>
    </row>
    <row r="39" spans="2:3" s="3" customFormat="1" x14ac:dyDescent="0.25">
      <c r="B39" s="8" t="s">
        <v>5</v>
      </c>
      <c r="C39" s="9">
        <f>C37</f>
        <v>580</v>
      </c>
    </row>
    <row r="40" spans="2:3" x14ac:dyDescent="0.25">
      <c r="B40" s="10"/>
      <c r="C40" s="7"/>
    </row>
    <row r="41" spans="2:3" s="3" customFormat="1" x14ac:dyDescent="0.25">
      <c r="B41" s="8" t="s">
        <v>33</v>
      </c>
      <c r="C41" s="35">
        <f>C18-(C33+C39)</f>
        <v>-392402.6399999999</v>
      </c>
    </row>
    <row r="42" spans="2:3" x14ac:dyDescent="0.25">
      <c r="B42" s="10"/>
      <c r="C42" s="36" t="str">
        <f>IF(C41&gt;=0,"Superávit","Défict")</f>
        <v>Défict</v>
      </c>
    </row>
    <row r="44" spans="2:3" s="3" customFormat="1" x14ac:dyDescent="0.25">
      <c r="B44" s="8" t="s">
        <v>6</v>
      </c>
      <c r="C44" s="9"/>
    </row>
    <row r="45" spans="2:3" s="3" customFormat="1" x14ac:dyDescent="0.25">
      <c r="B45" s="8" t="s">
        <v>31</v>
      </c>
      <c r="C45" s="9">
        <f>'4 ABR'!C48</f>
        <v>9436951.4399999995</v>
      </c>
    </row>
    <row r="46" spans="2:3" x14ac:dyDescent="0.25">
      <c r="B46" s="10" t="str">
        <f>'1-12 ACUMULADO'!$B$46</f>
        <v>( + ) Total Recursos Financeiros Recebidos no mês</v>
      </c>
      <c r="C46" s="7">
        <f>C18</f>
        <v>1698935.75</v>
      </c>
    </row>
    <row r="47" spans="2:3" x14ac:dyDescent="0.25">
      <c r="B47" s="10" t="str">
        <f>'1-12 ACUMULADO'!$B$47</f>
        <v>( - ) Total Despesas e Investimentos Aplicados no mês</v>
      </c>
      <c r="C47" s="7">
        <f>C33+C39</f>
        <v>2091338.39</v>
      </c>
    </row>
    <row r="48" spans="2:3" s="3" customFormat="1" x14ac:dyDescent="0.25">
      <c r="B48" s="8" t="s">
        <v>7</v>
      </c>
      <c r="C48" s="9">
        <f>C45+C46-C47</f>
        <v>9044548.7999999989</v>
      </c>
    </row>
    <row r="49" spans="2:3" x14ac:dyDescent="0.25">
      <c r="B49" s="10"/>
      <c r="C49" s="7"/>
    </row>
    <row r="50" spans="2:3" s="3" customFormat="1" x14ac:dyDescent="0.25">
      <c r="B50" s="8" t="s">
        <v>8</v>
      </c>
      <c r="C50" s="9"/>
    </row>
    <row r="51" spans="2:3" x14ac:dyDescent="0.25">
      <c r="B51" s="10" t="str">
        <f>'1-12 ACUMULADO'!$B$51</f>
        <v>Caixas</v>
      </c>
      <c r="C51" s="7">
        <v>16550.169999999998</v>
      </c>
    </row>
    <row r="52" spans="2:3" x14ac:dyDescent="0.25">
      <c r="B52" s="10" t="str">
        <f>'1-12 ACUMULADO'!$B$52</f>
        <v>Bancos Contas Correntes</v>
      </c>
      <c r="C52" s="7">
        <v>75668.710000000006</v>
      </c>
    </row>
    <row r="53" spans="2:3" x14ac:dyDescent="0.25">
      <c r="B53" s="10" t="str">
        <f>'1-12 ACUMULADO'!$B$53</f>
        <v>Bancos Contas Aplicações</v>
      </c>
      <c r="C53" s="7">
        <v>8952329.9199999999</v>
      </c>
    </row>
    <row r="54" spans="2:3" x14ac:dyDescent="0.25">
      <c r="B54" s="10" t="s">
        <v>55</v>
      </c>
      <c r="C54" s="7">
        <v>0</v>
      </c>
    </row>
    <row r="55" spans="2:3" s="3" customFormat="1" x14ac:dyDescent="0.25">
      <c r="B55" s="8" t="s">
        <v>11</v>
      </c>
      <c r="C55" s="9">
        <f>SUM(C51:C54)</f>
        <v>9044548.8000000007</v>
      </c>
    </row>
    <row r="56" spans="2:3" x14ac:dyDescent="0.25">
      <c r="B56" s="10"/>
      <c r="C56" s="7"/>
    </row>
    <row r="57" spans="2:3" s="38" customFormat="1" x14ac:dyDescent="0.25">
      <c r="B57" s="37" t="s">
        <v>12</v>
      </c>
      <c r="C57" s="35">
        <f>C48-C45</f>
        <v>-392402.6400000006</v>
      </c>
    </row>
    <row r="64" spans="2:3" s="3" customFormat="1" x14ac:dyDescent="0.25">
      <c r="B64" s="1"/>
      <c r="C64" s="5"/>
    </row>
    <row r="65" spans="2:2" x14ac:dyDescent="0.25">
      <c r="B65" s="1"/>
    </row>
    <row r="69" spans="2:2" x14ac:dyDescent="0.25">
      <c r="B69" s="1"/>
    </row>
    <row r="72" spans="2:2" x14ac:dyDescent="0.25">
      <c r="B72" s="1"/>
    </row>
  </sheetData>
  <mergeCells count="3">
    <mergeCell ref="B3:D3"/>
    <mergeCell ref="B4:D4"/>
    <mergeCell ref="B5:D5"/>
  </mergeCells>
  <pageMargins left="0.6692913385826772" right="0.51181102362204722" top="0.19685039370078741" bottom="0.27559055118110237" header="0.15748031496062992" footer="0.19685039370078741"/>
  <pageSetup paperSize="9" scale="72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D72"/>
  <sheetViews>
    <sheetView showGridLines="0" zoomScaleNormal="100" workbookViewId="0">
      <pane xSplit="2" ySplit="7" topLeftCell="C29" activePane="bottomRight" state="frozen"/>
      <selection pane="topRight" activeCell="C1" sqref="C1"/>
      <selection pane="bottomLeft" activeCell="A8" sqref="A8"/>
      <selection pane="bottomRight" activeCell="C43" sqref="C43"/>
    </sheetView>
  </sheetViews>
  <sheetFormatPr defaultRowHeight="15.75" x14ac:dyDescent="0.25"/>
  <cols>
    <col min="1" max="1" width="10.7109375" style="2" customWidth="1"/>
    <col min="2" max="2" width="58.28515625" style="2" bestFit="1" customWidth="1"/>
    <col min="3" max="3" width="20.7109375" style="4" customWidth="1"/>
    <col min="4" max="4" width="5.7109375" style="2" customWidth="1"/>
    <col min="5" max="16384" width="9.140625" style="2"/>
  </cols>
  <sheetData>
    <row r="3" spans="2:4" x14ac:dyDescent="0.25">
      <c r="B3" s="51"/>
      <c r="C3" s="51"/>
      <c r="D3" s="51"/>
    </row>
    <row r="4" spans="2:4" x14ac:dyDescent="0.25">
      <c r="B4" s="52" t="s">
        <v>13</v>
      </c>
      <c r="C4" s="52"/>
      <c r="D4" s="52"/>
    </row>
    <row r="5" spans="2:4" x14ac:dyDescent="0.25">
      <c r="B5" s="52" t="s">
        <v>14</v>
      </c>
      <c r="C5" s="52"/>
      <c r="D5" s="52"/>
    </row>
    <row r="6" spans="2:4" x14ac:dyDescent="0.25">
      <c r="B6" s="33"/>
      <c r="C6" s="33"/>
      <c r="D6" s="33"/>
    </row>
    <row r="7" spans="2:4" x14ac:dyDescent="0.25">
      <c r="B7" s="34" t="s">
        <v>0</v>
      </c>
      <c r="C7" s="12" t="s">
        <v>50</v>
      </c>
    </row>
    <row r="8" spans="2:4" s="3" customFormat="1" x14ac:dyDescent="0.25">
      <c r="B8" s="8" t="s">
        <v>1</v>
      </c>
      <c r="C8" s="9"/>
    </row>
    <row r="9" spans="2:4" x14ac:dyDescent="0.25">
      <c r="B9" s="10" t="str">
        <f>'1-12 ACUMULADO'!$B$9</f>
        <v>Receita -  Repasse Contrato de Gestão</v>
      </c>
      <c r="C9" s="7">
        <v>1525655</v>
      </c>
    </row>
    <row r="10" spans="2:4" x14ac:dyDescent="0.25">
      <c r="B10" s="10" t="str">
        <f>'1-12 ACUMULADO'!$B$10</f>
        <v>Receita - Cessão Onerosa de Espaço</v>
      </c>
      <c r="C10" s="7">
        <v>37542.17</v>
      </c>
    </row>
    <row r="11" spans="2:4" x14ac:dyDescent="0.25">
      <c r="B11" s="10" t="str">
        <f>'1-12 ACUMULADO'!$B$11</f>
        <v>Receita - Bilheteria</v>
      </c>
      <c r="C11" s="7">
        <v>148064.75</v>
      </c>
    </row>
    <row r="12" spans="2:4" x14ac:dyDescent="0.25">
      <c r="B12" s="10" t="str">
        <f>'1-12 ACUMULADO'!$B$12</f>
        <v>Receita - Comércio (Loja)</v>
      </c>
      <c r="C12" s="7">
        <v>14751.15</v>
      </c>
    </row>
    <row r="13" spans="2:4" x14ac:dyDescent="0.25">
      <c r="B13" s="10" t="str">
        <f>'1-12 ACUMULADO'!$B$13</f>
        <v>Receita - Parceiros</v>
      </c>
      <c r="C13" s="7">
        <v>958.34</v>
      </c>
    </row>
    <row r="14" spans="2:4" x14ac:dyDescent="0.25">
      <c r="B14" s="10" t="str">
        <f>'1-12 ACUMULADO'!$B$14</f>
        <v>Receita - Doações</v>
      </c>
      <c r="C14" s="7">
        <v>5</v>
      </c>
    </row>
    <row r="15" spans="2:4" x14ac:dyDescent="0.25">
      <c r="B15" s="10" t="str">
        <f>'1-12 ACUMULADO'!$B$15</f>
        <v>Receita - Demais</v>
      </c>
      <c r="C15" s="7">
        <v>0</v>
      </c>
    </row>
    <row r="16" spans="2:4" x14ac:dyDescent="0.25">
      <c r="B16" s="10" t="str">
        <f>'1-12 ACUMULADO'!$B$16</f>
        <v>Receita - Financeiras</v>
      </c>
      <c r="C16" s="7">
        <v>89310.04</v>
      </c>
    </row>
    <row r="17" spans="2:3" x14ac:dyDescent="0.25">
      <c r="B17" s="10"/>
      <c r="C17" s="7"/>
    </row>
    <row r="18" spans="2:3" s="3" customFormat="1" x14ac:dyDescent="0.25">
      <c r="B18" s="8" t="s">
        <v>2</v>
      </c>
      <c r="C18" s="9">
        <f>SUM(C9:C16)</f>
        <v>1816286.45</v>
      </c>
    </row>
    <row r="21" spans="2:3" s="3" customFormat="1" x14ac:dyDescent="0.25">
      <c r="B21" s="8" t="s">
        <v>24</v>
      </c>
      <c r="C21" s="9"/>
    </row>
    <row r="22" spans="2:3" x14ac:dyDescent="0.25">
      <c r="B22" s="10" t="str">
        <f>'1-12 ACUMULADO'!$B$22</f>
        <v>Despesas RH - CLT (Salários - Encargos Sociais - Benefícios)</v>
      </c>
      <c r="C22" s="7">
        <v>1026852.91</v>
      </c>
    </row>
    <row r="23" spans="2:3" x14ac:dyDescent="0.25">
      <c r="B23" s="10" t="str">
        <f>'1-12 ACUMULADO'!$B$23</f>
        <v>Despesas RH - Estágio (Bolsa - Benefícios)</v>
      </c>
      <c r="C23" s="7">
        <v>34378.22</v>
      </c>
    </row>
    <row r="24" spans="2:3" x14ac:dyDescent="0.25">
      <c r="B24" s="10" t="str">
        <f>'1-12 ACUMULADO'!$B$24</f>
        <v>Despesas - Administrativas e Institucionais</v>
      </c>
      <c r="C24" s="7">
        <v>635151.89</v>
      </c>
    </row>
    <row r="25" spans="2:3" x14ac:dyDescent="0.25">
      <c r="B25" s="10" t="str">
        <f>'1-12 ACUMULADO'!$B$25</f>
        <v>Despesas Programas - Edificações</v>
      </c>
      <c r="C25" s="7">
        <v>93622.11</v>
      </c>
    </row>
    <row r="26" spans="2:3" x14ac:dyDescent="0.25">
      <c r="B26" s="10" t="str">
        <f>'1-12 ACUMULADO'!$B$26</f>
        <v>Despesas Programas - Acervos</v>
      </c>
      <c r="C26" s="7">
        <v>2819.64</v>
      </c>
    </row>
    <row r="27" spans="2:3" x14ac:dyDescent="0.25">
      <c r="B27" s="10" t="str">
        <f>'1-12 ACUMULADO'!$B$27</f>
        <v>Despesas Programas - Exposições e Programações Culturais</v>
      </c>
      <c r="C27" s="7">
        <v>108475.49</v>
      </c>
    </row>
    <row r="28" spans="2:3" x14ac:dyDescent="0.25">
      <c r="B28" s="10" t="str">
        <f>'1-12 ACUMULADO'!$B$28</f>
        <v>Despesas Programas - Educativos</v>
      </c>
      <c r="C28" s="7">
        <v>7572.8</v>
      </c>
    </row>
    <row r="29" spans="2:3" x14ac:dyDescent="0.25">
      <c r="B29" s="10" t="str">
        <f>'1-12 ACUMULADO'!$B$29</f>
        <v>Despesas Programas - Conexões Museus - SP</v>
      </c>
      <c r="C29" s="7">
        <v>162.94</v>
      </c>
    </row>
    <row r="30" spans="2:3" x14ac:dyDescent="0.25">
      <c r="B30" s="10" t="str">
        <f>'1-12 ACUMULADO'!$B$30</f>
        <v>Despesas Programas - Gestão Museológica</v>
      </c>
      <c r="C30" s="7">
        <v>7593.42</v>
      </c>
    </row>
    <row r="31" spans="2:3" x14ac:dyDescent="0.25">
      <c r="B31" s="10" t="str">
        <f>'1-12 ACUMULADO'!$B$31</f>
        <v>Despesas Programas - Comunicação</v>
      </c>
      <c r="C31" s="7">
        <v>26456.04</v>
      </c>
    </row>
    <row r="32" spans="2:3" x14ac:dyDescent="0.25">
      <c r="B32" s="10"/>
      <c r="C32" s="7"/>
    </row>
    <row r="33" spans="2:3" s="3" customFormat="1" x14ac:dyDescent="0.25">
      <c r="B33" s="8" t="s">
        <v>3</v>
      </c>
      <c r="C33" s="9">
        <f>SUM(C22:C31)</f>
        <v>1943085.46</v>
      </c>
    </row>
    <row r="34" spans="2:3" x14ac:dyDescent="0.25">
      <c r="B34" s="10"/>
      <c r="C34" s="7"/>
    </row>
    <row r="35" spans="2:3" x14ac:dyDescent="0.25">
      <c r="B35" s="10"/>
      <c r="C35" s="7"/>
    </row>
    <row r="36" spans="2:3" s="3" customFormat="1" x14ac:dyDescent="0.25">
      <c r="B36" s="8" t="s">
        <v>4</v>
      </c>
      <c r="C36" s="9"/>
    </row>
    <row r="37" spans="2:3" x14ac:dyDescent="0.25">
      <c r="B37" s="10" t="str">
        <f>'1-12 ACUMULADO'!$B$37</f>
        <v>Aquisições de Bens Duráveis (Imobilizado)</v>
      </c>
      <c r="C37" s="7">
        <v>13074.63</v>
      </c>
    </row>
    <row r="38" spans="2:3" x14ac:dyDescent="0.25">
      <c r="B38" s="10"/>
      <c r="C38" s="7"/>
    </row>
    <row r="39" spans="2:3" s="3" customFormat="1" x14ac:dyDescent="0.25">
      <c r="B39" s="8" t="s">
        <v>5</v>
      </c>
      <c r="C39" s="9">
        <f>C37</f>
        <v>13074.63</v>
      </c>
    </row>
    <row r="40" spans="2:3" x14ac:dyDescent="0.25">
      <c r="B40" s="10"/>
      <c r="C40" s="7"/>
    </row>
    <row r="41" spans="2:3" s="3" customFormat="1" x14ac:dyDescent="0.25">
      <c r="B41" s="8" t="s">
        <v>33</v>
      </c>
      <c r="C41" s="35">
        <f>C18-(C33+C39)</f>
        <v>-139873.6399999999</v>
      </c>
    </row>
    <row r="42" spans="2:3" x14ac:dyDescent="0.25">
      <c r="B42" s="10"/>
      <c r="C42" s="36" t="str">
        <f>IF(C41&gt;=0,"Superávit","Défict")</f>
        <v>Défict</v>
      </c>
    </row>
    <row r="44" spans="2:3" s="3" customFormat="1" x14ac:dyDescent="0.25">
      <c r="B44" s="8" t="s">
        <v>6</v>
      </c>
      <c r="C44" s="9"/>
    </row>
    <row r="45" spans="2:3" s="3" customFormat="1" x14ac:dyDescent="0.25">
      <c r="B45" s="8" t="s">
        <v>31</v>
      </c>
      <c r="C45" s="9">
        <f>'5 MAI'!C48</f>
        <v>9044548.7999999989</v>
      </c>
    </row>
    <row r="46" spans="2:3" x14ac:dyDescent="0.25">
      <c r="B46" s="10" t="str">
        <f>'1-12 ACUMULADO'!$B$46</f>
        <v>( + ) Total Recursos Financeiros Recebidos no mês</v>
      </c>
      <c r="C46" s="7">
        <f>C18</f>
        <v>1816286.45</v>
      </c>
    </row>
    <row r="47" spans="2:3" x14ac:dyDescent="0.25">
      <c r="B47" s="10" t="str">
        <f>'1-12 ACUMULADO'!$B$47</f>
        <v>( - ) Total Despesas e Investimentos Aplicados no mês</v>
      </c>
      <c r="C47" s="7">
        <f>C33+C39</f>
        <v>1956160.0899999999</v>
      </c>
    </row>
    <row r="48" spans="2:3" s="3" customFormat="1" x14ac:dyDescent="0.25">
      <c r="B48" s="8" t="s">
        <v>7</v>
      </c>
      <c r="C48" s="9">
        <f>C45+C46-C47</f>
        <v>8904675.1599999983</v>
      </c>
    </row>
    <row r="49" spans="2:3" x14ac:dyDescent="0.25">
      <c r="B49" s="10"/>
      <c r="C49" s="7"/>
    </row>
    <row r="50" spans="2:3" s="3" customFormat="1" x14ac:dyDescent="0.25">
      <c r="B50" s="8" t="s">
        <v>8</v>
      </c>
      <c r="C50" s="9"/>
    </row>
    <row r="51" spans="2:3" x14ac:dyDescent="0.25">
      <c r="B51" s="10" t="str">
        <f>'1-12 ACUMULADO'!$B$51</f>
        <v>Caixas</v>
      </c>
      <c r="C51" s="7">
        <v>13963.87</v>
      </c>
    </row>
    <row r="52" spans="2:3" x14ac:dyDescent="0.25">
      <c r="B52" s="10" t="str">
        <f>'1-12 ACUMULADO'!$B$52</f>
        <v>Bancos Contas Correntes</v>
      </c>
      <c r="C52" s="7">
        <v>254009.92</v>
      </c>
    </row>
    <row r="53" spans="2:3" x14ac:dyDescent="0.25">
      <c r="B53" s="10" t="str">
        <f>'1-12 ACUMULADO'!$B$53</f>
        <v>Bancos Contas Aplicações</v>
      </c>
      <c r="C53" s="7">
        <v>8636701.3699999992</v>
      </c>
    </row>
    <row r="54" spans="2:3" x14ac:dyDescent="0.25">
      <c r="B54" s="10" t="s">
        <v>55</v>
      </c>
      <c r="C54" s="7">
        <v>0</v>
      </c>
    </row>
    <row r="55" spans="2:3" s="3" customFormat="1" x14ac:dyDescent="0.25">
      <c r="B55" s="8" t="s">
        <v>11</v>
      </c>
      <c r="C55" s="9">
        <f>SUM(C51:C54)</f>
        <v>8904675.1600000001</v>
      </c>
    </row>
    <row r="56" spans="2:3" x14ac:dyDescent="0.25">
      <c r="B56" s="10"/>
      <c r="C56" s="7"/>
    </row>
    <row r="57" spans="2:3" s="38" customFormat="1" x14ac:dyDescent="0.25">
      <c r="B57" s="37" t="s">
        <v>12</v>
      </c>
      <c r="C57" s="35">
        <f>C48-C45</f>
        <v>-139873.6400000006</v>
      </c>
    </row>
    <row r="64" spans="2:3" s="3" customFormat="1" x14ac:dyDescent="0.25">
      <c r="B64" s="1"/>
      <c r="C64" s="5"/>
    </row>
    <row r="65" spans="2:2" x14ac:dyDescent="0.25">
      <c r="B65" s="1"/>
    </row>
    <row r="69" spans="2:2" x14ac:dyDescent="0.25">
      <c r="B69" s="1"/>
    </row>
    <row r="72" spans="2:2" x14ac:dyDescent="0.25">
      <c r="B72" s="1"/>
    </row>
  </sheetData>
  <mergeCells count="3">
    <mergeCell ref="B3:D3"/>
    <mergeCell ref="B4:D4"/>
    <mergeCell ref="B5:D5"/>
  </mergeCells>
  <pageMargins left="0.6692913385826772" right="0.51181102362204722" top="0.19685039370078741" bottom="0.27559055118110237" header="0.15748031496062992" footer="0.19685039370078741"/>
  <pageSetup paperSize="9" scale="72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D72"/>
  <sheetViews>
    <sheetView showGridLines="0" zoomScaleNormal="100" workbookViewId="0">
      <pane xSplit="2" ySplit="7" topLeftCell="C38" activePane="bottomRight" state="frozen"/>
      <selection pane="topRight" activeCell="C1" sqref="C1"/>
      <selection pane="bottomLeft" activeCell="A8" sqref="A8"/>
      <selection pane="bottomRight" activeCell="C43" sqref="C43"/>
    </sheetView>
  </sheetViews>
  <sheetFormatPr defaultRowHeight="15.75" x14ac:dyDescent="0.25"/>
  <cols>
    <col min="1" max="1" width="10.7109375" style="2" customWidth="1"/>
    <col min="2" max="2" width="58.28515625" style="2" bestFit="1" customWidth="1"/>
    <col min="3" max="3" width="20.7109375" style="4" customWidth="1"/>
    <col min="4" max="4" width="5.7109375" style="2" customWidth="1"/>
    <col min="5" max="16384" width="9.140625" style="2"/>
  </cols>
  <sheetData>
    <row r="3" spans="2:4" x14ac:dyDescent="0.25">
      <c r="B3" s="51"/>
      <c r="C3" s="51"/>
      <c r="D3" s="51"/>
    </row>
    <row r="4" spans="2:4" x14ac:dyDescent="0.25">
      <c r="B4" s="52" t="s">
        <v>13</v>
      </c>
      <c r="C4" s="52"/>
      <c r="D4" s="52"/>
    </row>
    <row r="5" spans="2:4" x14ac:dyDescent="0.25">
      <c r="B5" s="52" t="s">
        <v>14</v>
      </c>
      <c r="C5" s="52"/>
      <c r="D5" s="52"/>
    </row>
    <row r="6" spans="2:4" x14ac:dyDescent="0.25">
      <c r="B6" s="39"/>
      <c r="C6" s="39"/>
      <c r="D6" s="39"/>
    </row>
    <row r="7" spans="2:4" x14ac:dyDescent="0.25">
      <c r="B7" s="40" t="s">
        <v>0</v>
      </c>
      <c r="C7" s="12" t="s">
        <v>51</v>
      </c>
    </row>
    <row r="8" spans="2:4" s="3" customFormat="1" x14ac:dyDescent="0.25">
      <c r="B8" s="8" t="s">
        <v>1</v>
      </c>
      <c r="C8" s="9"/>
    </row>
    <row r="9" spans="2:4" x14ac:dyDescent="0.25">
      <c r="B9" s="10" t="str">
        <f>'1-12 ACUMULADO'!$B$9</f>
        <v>Receita -  Repasse Contrato de Gestão</v>
      </c>
      <c r="C9" s="7">
        <v>1525655</v>
      </c>
    </row>
    <row r="10" spans="2:4" x14ac:dyDescent="0.25">
      <c r="B10" s="10" t="str">
        <f>'1-12 ACUMULADO'!$B$10</f>
        <v>Receita - Cessão Onerosa de Espaço</v>
      </c>
      <c r="C10" s="7">
        <v>21549.66</v>
      </c>
    </row>
    <row r="11" spans="2:4" x14ac:dyDescent="0.25">
      <c r="B11" s="10" t="str">
        <f>'1-12 ACUMULADO'!$B$11</f>
        <v>Receita - Bilheteria</v>
      </c>
      <c r="C11" s="7">
        <v>40124.120000000003</v>
      </c>
    </row>
    <row r="12" spans="2:4" x14ac:dyDescent="0.25">
      <c r="B12" s="10" t="str">
        <f>'1-12 ACUMULADO'!$B$12</f>
        <v>Receita - Comércio (Loja)</v>
      </c>
      <c r="C12" s="7">
        <v>14014.92</v>
      </c>
    </row>
    <row r="13" spans="2:4" x14ac:dyDescent="0.25">
      <c r="B13" s="10" t="str">
        <f>'1-12 ACUMULADO'!$B$13</f>
        <v>Receita - Parceiros</v>
      </c>
      <c r="C13" s="7">
        <v>1908.34</v>
      </c>
    </row>
    <row r="14" spans="2:4" x14ac:dyDescent="0.25">
      <c r="B14" s="10" t="str">
        <f>'1-12 ACUMULADO'!$B$14</f>
        <v>Receita - Doações</v>
      </c>
      <c r="C14" s="7">
        <v>40</v>
      </c>
    </row>
    <row r="15" spans="2:4" x14ac:dyDescent="0.25">
      <c r="B15" s="10" t="str">
        <f>'1-12 ACUMULADO'!$B$15</f>
        <v>Receita - Demais</v>
      </c>
      <c r="C15" s="7">
        <v>0</v>
      </c>
    </row>
    <row r="16" spans="2:4" x14ac:dyDescent="0.25">
      <c r="B16" s="10" t="str">
        <f>'1-12 ACUMULADO'!$B$16</f>
        <v>Receita - Financeiras</v>
      </c>
      <c r="C16" s="7">
        <v>101193.32</v>
      </c>
    </row>
    <row r="17" spans="2:3" x14ac:dyDescent="0.25">
      <c r="B17" s="10"/>
      <c r="C17" s="7"/>
    </row>
    <row r="18" spans="2:3" s="3" customFormat="1" x14ac:dyDescent="0.25">
      <c r="B18" s="8" t="s">
        <v>2</v>
      </c>
      <c r="C18" s="9">
        <f>SUM(C9:C16)</f>
        <v>1704485.36</v>
      </c>
    </row>
    <row r="21" spans="2:3" s="3" customFormat="1" x14ac:dyDescent="0.25">
      <c r="B21" s="8" t="s">
        <v>24</v>
      </c>
      <c r="C21" s="9"/>
    </row>
    <row r="22" spans="2:3" x14ac:dyDescent="0.25">
      <c r="B22" s="10" t="str">
        <f>'1-12 ACUMULADO'!$B$22</f>
        <v>Despesas RH - CLT (Salários - Encargos Sociais - Benefícios)</v>
      </c>
      <c r="C22" s="7">
        <v>865565.21</v>
      </c>
    </row>
    <row r="23" spans="2:3" x14ac:dyDescent="0.25">
      <c r="B23" s="10" t="str">
        <f>'1-12 ACUMULADO'!$B$23</f>
        <v>Despesas RH - Estágio (Bolsa - Benefícios)</v>
      </c>
      <c r="C23" s="7">
        <v>30356.27</v>
      </c>
    </row>
    <row r="24" spans="2:3" x14ac:dyDescent="0.25">
      <c r="B24" s="10" t="str">
        <f>'1-12 ACUMULADO'!$B$24</f>
        <v>Despesas - Administrativas e Institucionais</v>
      </c>
      <c r="C24" s="7">
        <v>609081.05000000005</v>
      </c>
    </row>
    <row r="25" spans="2:3" x14ac:dyDescent="0.25">
      <c r="B25" s="10" t="str">
        <f>'1-12 ACUMULADO'!$B$25</f>
        <v>Despesas Programas - Edificações</v>
      </c>
      <c r="C25" s="7">
        <v>125779.68</v>
      </c>
    </row>
    <row r="26" spans="2:3" x14ac:dyDescent="0.25">
      <c r="B26" s="10" t="str">
        <f>'1-12 ACUMULADO'!$B$26</f>
        <v>Despesas Programas - Acervos</v>
      </c>
      <c r="C26" s="7">
        <v>33902.949999999997</v>
      </c>
    </row>
    <row r="27" spans="2:3" x14ac:dyDescent="0.25">
      <c r="B27" s="10" t="str">
        <f>'1-12 ACUMULADO'!$B$27</f>
        <v>Despesas Programas - Exposições e Programações Culturais</v>
      </c>
      <c r="C27" s="7">
        <v>141977.68</v>
      </c>
    </row>
    <row r="28" spans="2:3" x14ac:dyDescent="0.25">
      <c r="B28" s="10" t="str">
        <f>'1-12 ACUMULADO'!$B$28</f>
        <v>Despesas Programas - Educativos</v>
      </c>
      <c r="C28" s="7">
        <v>8392.1</v>
      </c>
    </row>
    <row r="29" spans="2:3" x14ac:dyDescent="0.25">
      <c r="B29" s="10" t="str">
        <f>'1-12 ACUMULADO'!$B$29</f>
        <v>Despesas Programas - Conexões Museus - SP</v>
      </c>
      <c r="C29" s="7">
        <v>3400</v>
      </c>
    </row>
    <row r="30" spans="2:3" x14ac:dyDescent="0.25">
      <c r="B30" s="10" t="str">
        <f>'1-12 ACUMULADO'!$B$30</f>
        <v>Despesas Programas - Gestão Museológica</v>
      </c>
      <c r="C30" s="7">
        <v>8971.2999999999993</v>
      </c>
    </row>
    <row r="31" spans="2:3" x14ac:dyDescent="0.25">
      <c r="B31" s="10" t="str">
        <f>'1-12 ACUMULADO'!$B$31</f>
        <v>Despesas Programas - Comunicação</v>
      </c>
      <c r="C31" s="7">
        <v>22882.71</v>
      </c>
    </row>
    <row r="32" spans="2:3" x14ac:dyDescent="0.25">
      <c r="B32" s="10"/>
      <c r="C32" s="7"/>
    </row>
    <row r="33" spans="2:3" s="3" customFormat="1" x14ac:dyDescent="0.25">
      <c r="B33" s="8" t="s">
        <v>3</v>
      </c>
      <c r="C33" s="9">
        <f>SUM(C22:C31)</f>
        <v>1850308.95</v>
      </c>
    </row>
    <row r="34" spans="2:3" x14ac:dyDescent="0.25">
      <c r="B34" s="10"/>
      <c r="C34" s="7"/>
    </row>
    <row r="35" spans="2:3" x14ac:dyDescent="0.25">
      <c r="B35" s="10"/>
      <c r="C35" s="7"/>
    </row>
    <row r="36" spans="2:3" s="3" customFormat="1" x14ac:dyDescent="0.25">
      <c r="B36" s="8" t="s">
        <v>4</v>
      </c>
      <c r="C36" s="9"/>
    </row>
    <row r="37" spans="2:3" x14ac:dyDescent="0.25">
      <c r="B37" s="10" t="str">
        <f>'1-12 ACUMULADO'!$B$37</f>
        <v>Aquisições de Bens Duráveis (Imobilizado)</v>
      </c>
      <c r="C37" s="7">
        <v>11884.16</v>
      </c>
    </row>
    <row r="38" spans="2:3" x14ac:dyDescent="0.25">
      <c r="B38" s="10"/>
      <c r="C38" s="7"/>
    </row>
    <row r="39" spans="2:3" s="3" customFormat="1" x14ac:dyDescent="0.25">
      <c r="B39" s="8" t="s">
        <v>5</v>
      </c>
      <c r="C39" s="9">
        <f>C37</f>
        <v>11884.16</v>
      </c>
    </row>
    <row r="40" spans="2:3" x14ac:dyDescent="0.25">
      <c r="B40" s="10"/>
      <c r="C40" s="7"/>
    </row>
    <row r="41" spans="2:3" s="3" customFormat="1" x14ac:dyDescent="0.25">
      <c r="B41" s="8" t="s">
        <v>33</v>
      </c>
      <c r="C41" s="35">
        <f>C18-(C33+C39)</f>
        <v>-157707.74999999977</v>
      </c>
    </row>
    <row r="42" spans="2:3" x14ac:dyDescent="0.25">
      <c r="B42" s="10"/>
      <c r="C42" s="36" t="str">
        <f>IF(C41&gt;=0,"Superávit","Défict")</f>
        <v>Défict</v>
      </c>
    </row>
    <row r="44" spans="2:3" s="3" customFormat="1" x14ac:dyDescent="0.25">
      <c r="B44" s="8" t="s">
        <v>6</v>
      </c>
      <c r="C44" s="9"/>
    </row>
    <row r="45" spans="2:3" s="3" customFormat="1" x14ac:dyDescent="0.25">
      <c r="B45" s="8" t="s">
        <v>31</v>
      </c>
      <c r="C45" s="9">
        <f>'6 JUN'!C48</f>
        <v>8904675.1599999983</v>
      </c>
    </row>
    <row r="46" spans="2:3" x14ac:dyDescent="0.25">
      <c r="B46" s="10" t="str">
        <f>'1-12 ACUMULADO'!$B$46</f>
        <v>( + ) Total Recursos Financeiros Recebidos no mês</v>
      </c>
      <c r="C46" s="7">
        <f>C18</f>
        <v>1704485.36</v>
      </c>
    </row>
    <row r="47" spans="2:3" x14ac:dyDescent="0.25">
      <c r="B47" s="10" t="str">
        <f>'1-12 ACUMULADO'!$B$47</f>
        <v>( - ) Total Despesas e Investimentos Aplicados no mês</v>
      </c>
      <c r="C47" s="7">
        <f>C33+C39</f>
        <v>1862193.1099999999</v>
      </c>
    </row>
    <row r="48" spans="2:3" s="3" customFormat="1" x14ac:dyDescent="0.25">
      <c r="B48" s="8" t="s">
        <v>7</v>
      </c>
      <c r="C48" s="9">
        <f>C45+C46-C47</f>
        <v>8746967.4099999983</v>
      </c>
    </row>
    <row r="49" spans="2:3" x14ac:dyDescent="0.25">
      <c r="B49" s="10"/>
      <c r="C49" s="7"/>
    </row>
    <row r="50" spans="2:3" s="3" customFormat="1" x14ac:dyDescent="0.25">
      <c r="B50" s="8" t="s">
        <v>8</v>
      </c>
      <c r="C50" s="9"/>
    </row>
    <row r="51" spans="2:3" x14ac:dyDescent="0.25">
      <c r="B51" s="10" t="str">
        <f>'1-12 ACUMULADO'!$B$51</f>
        <v>Caixas</v>
      </c>
      <c r="C51" s="7">
        <v>12819.59</v>
      </c>
    </row>
    <row r="52" spans="2:3" x14ac:dyDescent="0.25">
      <c r="B52" s="10" t="str">
        <f>'1-12 ACUMULADO'!$B$52</f>
        <v>Bancos Contas Correntes</v>
      </c>
      <c r="C52" s="7">
        <v>217979.66</v>
      </c>
    </row>
    <row r="53" spans="2:3" x14ac:dyDescent="0.25">
      <c r="B53" s="10" t="str">
        <f>'1-12 ACUMULADO'!$B$53</f>
        <v>Bancos Contas Aplicações</v>
      </c>
      <c r="C53" s="7">
        <v>8516168.1600000001</v>
      </c>
    </row>
    <row r="54" spans="2:3" x14ac:dyDescent="0.25">
      <c r="B54" s="10" t="s">
        <v>55</v>
      </c>
      <c r="C54" s="7">
        <v>0</v>
      </c>
    </row>
    <row r="55" spans="2:3" s="3" customFormat="1" x14ac:dyDescent="0.25">
      <c r="B55" s="8" t="s">
        <v>11</v>
      </c>
      <c r="C55" s="9">
        <f>SUM(C51:C54)</f>
        <v>8746967.4100000001</v>
      </c>
    </row>
    <row r="56" spans="2:3" x14ac:dyDescent="0.25">
      <c r="B56" s="10"/>
      <c r="C56" s="7"/>
    </row>
    <row r="57" spans="2:3" s="38" customFormat="1" x14ac:dyDescent="0.25">
      <c r="B57" s="37" t="s">
        <v>12</v>
      </c>
      <c r="C57" s="35">
        <f>C48-C45</f>
        <v>-157707.75</v>
      </c>
    </row>
    <row r="64" spans="2:3" s="3" customFormat="1" x14ac:dyDescent="0.25">
      <c r="B64" s="1"/>
      <c r="C64" s="5"/>
    </row>
    <row r="65" spans="2:2" x14ac:dyDescent="0.25">
      <c r="B65" s="1"/>
    </row>
    <row r="69" spans="2:2" x14ac:dyDescent="0.25">
      <c r="B69" s="1"/>
    </row>
    <row r="72" spans="2:2" x14ac:dyDescent="0.25">
      <c r="B72" s="1"/>
    </row>
  </sheetData>
  <mergeCells count="3">
    <mergeCell ref="B3:D3"/>
    <mergeCell ref="B4:D4"/>
    <mergeCell ref="B5:D5"/>
  </mergeCells>
  <pageMargins left="0.6692913385826772" right="0.51181102362204722" top="0.19685039370078741" bottom="0.27559055118110237" header="0.15748031496062992" footer="0.19685039370078741"/>
  <pageSetup paperSize="9" scale="7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14</vt:i4>
      </vt:variant>
      <vt:variant>
        <vt:lpstr>Intervalos nomeados</vt:lpstr>
      </vt:variant>
      <vt:variant>
        <vt:i4>14</vt:i4>
      </vt:variant>
    </vt:vector>
  </HeadingPairs>
  <TitlesOfParts>
    <vt:vector size="28" baseType="lpstr">
      <vt:lpstr>1-12 ACUMULADO</vt:lpstr>
      <vt:lpstr>1-12 GRÁFICOS</vt:lpstr>
      <vt:lpstr>1 JAN</vt:lpstr>
      <vt:lpstr>2 FEV</vt:lpstr>
      <vt:lpstr>3 MAR</vt:lpstr>
      <vt:lpstr>4 ABR</vt:lpstr>
      <vt:lpstr>5 MAI</vt:lpstr>
      <vt:lpstr>6 JUN</vt:lpstr>
      <vt:lpstr>7 JUL</vt:lpstr>
      <vt:lpstr>8 AGO</vt:lpstr>
      <vt:lpstr>9 SET</vt:lpstr>
      <vt:lpstr>10 OUT</vt:lpstr>
      <vt:lpstr>11 NOV</vt:lpstr>
      <vt:lpstr>12 DEZ</vt:lpstr>
      <vt:lpstr>'1 JAN'!Area_de_impressao</vt:lpstr>
      <vt:lpstr>'10 OUT'!Area_de_impressao</vt:lpstr>
      <vt:lpstr>'11 NOV'!Area_de_impressao</vt:lpstr>
      <vt:lpstr>'1-12 ACUMULADO'!Area_de_impressao</vt:lpstr>
      <vt:lpstr>'1-12 GRÁFICOS'!Area_de_impressao</vt:lpstr>
      <vt:lpstr>'12 DEZ'!Area_de_impressao</vt:lpstr>
      <vt:lpstr>'2 FEV'!Area_de_impressao</vt:lpstr>
      <vt:lpstr>'3 MAR'!Area_de_impressao</vt:lpstr>
      <vt:lpstr>'4 ABR'!Area_de_impressao</vt:lpstr>
      <vt:lpstr>'5 MAI'!Area_de_impressao</vt:lpstr>
      <vt:lpstr>'6 JUN'!Area_de_impressao</vt:lpstr>
      <vt:lpstr>'7 JUL'!Area_de_impressao</vt:lpstr>
      <vt:lpstr>'8 AGO'!Area_de_impressao</vt:lpstr>
      <vt:lpstr>'9 SET'!Area_de_impressao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Reginaldo Adami Janoni</dc:creator>
  <cp:lastModifiedBy>Reginaldo Adami Janoni</cp:lastModifiedBy>
  <cp:lastPrinted>2026-02-25T17:58:29Z</cp:lastPrinted>
  <dcterms:created xsi:type="dcterms:W3CDTF">2025-02-18T00:26:03Z</dcterms:created>
  <dcterms:modified xsi:type="dcterms:W3CDTF">2026-02-25T17:59:29Z</dcterms:modified>
</cp:coreProperties>
</file>